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3GR1jgP7BJ/VBUOuZWvTTKOhVRHaxM9qDV4FuL+UkN/Q6K58ve5Era8PKkQvrWzzQ2u4UBr0J6mXWwlugCWe5A==" workbookSaltValue="poQFIJ5wgXmQWbEHDOaH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S14" i="16"/>
  <c r="P14" i="16"/>
  <c r="F13" i="16"/>
  <c r="Z14" i="17"/>
  <c r="R30" i="17"/>
  <c r="V18" i="16"/>
  <c r="K26" i="2"/>
  <c r="N26" i="2"/>
  <c r="M23" i="2"/>
  <c r="K30" i="2"/>
  <c r="F30" i="17"/>
  <c r="F26" i="17"/>
  <c r="F14" i="7"/>
  <c r="BK16" i="11"/>
  <c r="S9" i="17"/>
  <c r="BJ21" i="11"/>
  <c r="BG29"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F25" i="2" l="1"/>
  <c r="BF17" i="8"/>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<sst xmlns="http://schemas.openxmlformats.org/spreadsheetml/2006/main" count="2682" uniqueCount="1193">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</sst>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SL41HRe+fypeB7a++FZoYP7tEWAypJXaqR39wC2Vri7LKuKaW281Z3zS8L6T7laPtGDtiLRCv73osxIR27cTg==" saltValue="2pr62xR0EHTfx9xCAyg4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2</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32.069852941176471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216</v>
      </c>
      <c r="D17" s="239">
        <f>IF(ISNUMBER(IF(D_I="SI",Datos!I17,Datos!I17+Datos!AC17)),IF(D_I="SI",Datos!I17,Datos!I17+Datos!AC17)," - ")</f>
        <v>216</v>
      </c>
      <c r="E17" s="240">
        <f>IF(ISNUMBER(IF(D_I="SI",Datos!J17,Datos!J17+Datos!AD17)),IF(D_I="SI",Datos!J17,Datos!J17+Datos!AD17)," - ")</f>
        <v>550</v>
      </c>
      <c r="F17" s="240">
        <f>IF(ISNUMBER(IF(D_I="SI",Datos!K17,Datos!K17+Datos!AE17)),IF(D_I="SI",Datos!K17,Datos!K17+Datos!AE17)," - ")</f>
        <v>563</v>
      </c>
      <c r="G17" s="1390" t="str">
        <f>IF(Datos!E17&lt;&gt;"",Datos!E17,Datos!D17)</f>
        <v>04</v>
      </c>
      <c r="H17" s="241">
        <f>IF(ISNUMBER(IF(D_I="SI",Datos!L17,Datos!L17+Datos!AF17)),IF(D_I="SI",Datos!L17,Datos!L17+Datos!AF17)," - ")</f>
        <v>203</v>
      </c>
      <c r="I17" s="1400" t="str">
        <f>IF(ISNUMBER(Datos!AS17/Datos!BM17),Datos!AS17/Datos!BM17," - ")</f>
        <v xml:space="preserve"> - </v>
      </c>
      <c r="J17" s="1401">
        <f>IF(ISNUMBER(Datos!BY17/Datos!CN17),Datos!BY17/Datos!CN17," - ")</f>
        <v>0</v>
      </c>
      <c r="K17" s="244">
        <f t="shared" si="3"/>
        <v>-6.0185185185185182E-2</v>
      </c>
      <c r="L17" s="1402">
        <f>IF(ISNUMBER(NºAsuntos!I17/NºAsuntos!G17),(NºAsuntos!I17/NºAsuntos!G17)*11," - ")</f>
        <v>3.9662522202486681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16</v>
      </c>
      <c r="F18" s="240">
        <f>IF(ISNUMBER(IF(D_I="SI",Datos!K18,Datos!K18+Datos!AE18)),IF(D_I="SI",Datos!K18,Datos!K18+Datos!AE18)," - ")</f>
        <v>22</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231</v>
      </c>
      <c r="D23" s="1407">
        <f>SUBTOTAL(9,D16:D22)</f>
        <v>231</v>
      </c>
      <c r="E23" s="1408">
        <f>SUBTOTAL(9,E16:E22)</f>
        <v>566</v>
      </c>
      <c r="F23" s="1408">
        <f>SUBTOTAL(9,F16:F22)</f>
        <v>585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236</v>
      </c>
      <c r="D31" s="1435">
        <f>SUBTOTAL(9,D9:D30)</f>
        <v>236</v>
      </c>
      <c r="E31" s="1436">
        <f>SUBTOTAL(9,E9:E30)</f>
        <v>568</v>
      </c>
      <c r="F31" s="1436">
        <f>SUBTOTAL(9,F9:F30)</f>
        <v>588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P7RtiA9UFNRrAqdg2SDbsy6dFWTtMVFrrJ8UJoY/P1D41MvRRPt1dH4C2OQCrCWViK6Idja9Ejw6b+q5cBzgw==" saltValue="CuqmsgKWavCS8hnKcZ93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5XNbugEY0HLKUwaSeLMWe4ftRwcxykqr5M8uNCX27WdcUcLPPCpdoUcgQT2f/Wi5+4C/zvFNxmknw9rp6AbiA==" saltValue="ig9LOdkpkLAXE1DxkulN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2</v>
      </c>
      <c r="K10" s="194">
        <v>3</v>
      </c>
      <c r="L10" s="194">
        <v>4</v>
      </c>
      <c r="M10" s="194">
        <v>3</v>
      </c>
      <c r="N10" s="194">
        <v>0</v>
      </c>
      <c r="O10" s="194">
        <v>0</v>
      </c>
      <c r="P10" s="194">
        <v>0</v>
      </c>
      <c r="Q10" s="194">
        <v>0</v>
      </c>
      <c r="R10" s="194">
        <v>7</v>
      </c>
      <c r="S10" s="194">
        <v>3</v>
      </c>
      <c r="T10" s="194">
        <v>1</v>
      </c>
      <c r="U10" s="194">
        <v>1</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1</v>
      </c>
      <c r="BB10" s="139">
        <f t="shared" si="0"/>
        <v>3</v>
      </c>
      <c r="BC10" s="135">
        <f t="shared" si="0"/>
        <v>1</v>
      </c>
      <c r="BD10" s="136">
        <f>IF(ISNUMBER(BA10/AZ10),BA10/AZ10," - ")</f>
        <v>1</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751</v>
      </c>
      <c r="J12" s="196">
        <v>258</v>
      </c>
      <c r="K12" s="196">
        <v>247</v>
      </c>
      <c r="L12" s="196">
        <v>762</v>
      </c>
      <c r="M12" s="196">
        <v>87</v>
      </c>
      <c r="N12" s="196">
        <v>66</v>
      </c>
      <c r="O12" s="194">
        <v>137</v>
      </c>
      <c r="P12" s="196">
        <v>41</v>
      </c>
      <c r="Q12" s="196">
        <v>30</v>
      </c>
      <c r="R12" s="196">
        <v>1122</v>
      </c>
      <c r="S12" s="196">
        <v>991</v>
      </c>
      <c r="T12" s="196">
        <v>219</v>
      </c>
      <c r="U12" s="196">
        <v>356</v>
      </c>
      <c r="V12" s="196">
        <v>854</v>
      </c>
      <c r="W12" s="196">
        <v>51</v>
      </c>
      <c r="X12" s="202">
        <v>66</v>
      </c>
      <c r="Y12" s="204">
        <v>28</v>
      </c>
      <c r="Z12" s="194">
        <v>28</v>
      </c>
      <c r="AA12" s="194">
        <v>25</v>
      </c>
      <c r="AB12" s="194">
        <v>31</v>
      </c>
      <c r="AC12" s="196">
        <v>0</v>
      </c>
      <c r="AD12" s="196">
        <v>0</v>
      </c>
      <c r="AE12" s="196">
        <v>0</v>
      </c>
      <c r="AF12" s="202">
        <v>0</v>
      </c>
      <c r="AG12" s="215">
        <v>36</v>
      </c>
      <c r="AH12" s="196">
        <v>36</v>
      </c>
      <c r="AI12" s="196">
        <v>14</v>
      </c>
      <c r="AJ12" s="216">
        <v>58</v>
      </c>
      <c r="AK12" s="195">
        <v>0</v>
      </c>
      <c r="AL12" s="196">
        <v>0</v>
      </c>
      <c r="AM12" s="196">
        <v>0</v>
      </c>
      <c r="AN12" s="202">
        <v>0</v>
      </c>
      <c r="AO12" s="283">
        <v>2</v>
      </c>
      <c r="AP12" s="168">
        <v>2</v>
      </c>
      <c r="AQ12" s="168">
        <v>2</v>
      </c>
      <c r="AR12" s="167">
        <v>2</v>
      </c>
      <c r="AS12" s="381" t="s">
        <v>1075</v>
      </c>
      <c r="AT12" s="216"/>
      <c r="AU12" s="215"/>
      <c r="AV12" s="216"/>
      <c r="AW12" s="215"/>
      <c r="AX12" s="216"/>
      <c r="AY12" s="136">
        <f t="shared" si="1"/>
        <v>1027</v>
      </c>
      <c r="AZ12" s="137">
        <f t="shared" si="1"/>
        <v>255</v>
      </c>
      <c r="BA12" s="137">
        <f t="shared" si="1"/>
        <v>370</v>
      </c>
      <c r="BB12" s="137">
        <f t="shared" si="1"/>
        <v>912</v>
      </c>
      <c r="BC12" s="135">
        <f>IF(ISNUMBER(X12),X12," - ")</f>
        <v>66</v>
      </c>
      <c r="BD12" s="136">
        <f t="shared" si="2"/>
        <v>1.4509803921568627</v>
      </c>
      <c r="BE12" s="137">
        <f t="shared" si="3"/>
        <v>2.464864864864865</v>
      </c>
      <c r="BF12" s="137">
        <f t="shared" si="4"/>
        <v>0.17837837837837839</v>
      </c>
      <c r="BG12" s="209">
        <f t="shared" si="5"/>
        <v>3.464864864864865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756</v>
      </c>
      <c r="J14" s="197">
        <f t="shared" si="7"/>
        <v>260</v>
      </c>
      <c r="K14" s="197">
        <f t="shared" si="7"/>
        <v>250</v>
      </c>
      <c r="L14" s="197">
        <f t="shared" si="7"/>
        <v>766</v>
      </c>
      <c r="M14" s="197">
        <f t="shared" si="7"/>
        <v>90</v>
      </c>
      <c r="N14" s="197">
        <f t="shared" si="7"/>
        <v>66</v>
      </c>
      <c r="O14" s="197">
        <f t="shared" si="7"/>
        <v>137</v>
      </c>
      <c r="P14" s="197">
        <f t="shared" si="7"/>
        <v>41</v>
      </c>
      <c r="Q14" s="197">
        <f t="shared" si="7"/>
        <v>30</v>
      </c>
      <c r="R14" s="197">
        <f t="shared" si="7"/>
        <v>1129</v>
      </c>
      <c r="S14" s="197">
        <f t="shared" si="7"/>
        <v>994</v>
      </c>
      <c r="T14" s="197">
        <f t="shared" si="7"/>
        <v>220</v>
      </c>
      <c r="U14" s="197">
        <f t="shared" si="7"/>
        <v>357</v>
      </c>
      <c r="V14" s="197">
        <f t="shared" si="7"/>
        <v>857</v>
      </c>
      <c r="W14" s="197">
        <f t="shared" si="7"/>
        <v>52</v>
      </c>
      <c r="X14" s="197">
        <f t="shared" si="7"/>
        <v>66</v>
      </c>
      <c r="Y14" s="197">
        <f t="shared" si="7"/>
        <v>28</v>
      </c>
      <c r="Z14" s="197">
        <f t="shared" si="7"/>
        <v>28</v>
      </c>
      <c r="AA14" s="197">
        <f t="shared" si="7"/>
        <v>25</v>
      </c>
      <c r="AB14" s="197">
        <f t="shared" si="7"/>
        <v>31</v>
      </c>
      <c r="AC14" s="197">
        <f t="shared" si="7"/>
        <v>0</v>
      </c>
      <c r="AD14" s="197">
        <f t="shared" si="7"/>
        <v>0</v>
      </c>
      <c r="AE14" s="197">
        <f t="shared" si="7"/>
        <v>0</v>
      </c>
      <c r="AF14" s="197">
        <f>SUBTOTAL(9,AF9:AF13)</f>
        <v>0</v>
      </c>
      <c r="AG14" s="197">
        <f t="shared" ref="AG14:AT14" si="8">SUBTOTAL(9,AG8:AG13)</f>
        <v>36</v>
      </c>
      <c r="AH14" s="197">
        <f t="shared" si="8"/>
        <v>36</v>
      </c>
      <c r="AI14" s="197">
        <f t="shared" si="8"/>
        <v>14</v>
      </c>
      <c r="AJ14" s="197">
        <f t="shared" si="8"/>
        <v>58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1030</v>
      </c>
      <c r="AZ14" s="197">
        <f>SUBTOTAL(9,AZ8:AZ13)</f>
        <v>256</v>
      </c>
      <c r="BA14" s="197">
        <f>SUBTOTAL(9,BA8:BA13)</f>
        <v>371</v>
      </c>
      <c r="BB14" s="197">
        <f>SUBTOTAL(9,BB8:BB13)</f>
        <v>915</v>
      </c>
      <c r="BC14" s="197">
        <f>SUBTOTAL(9,BC8:BC13)</f>
        <v>67</v>
      </c>
      <c r="BD14" s="219">
        <f>IF(ISNUMBER(BA14/AZ14),BA14/AZ14," - ")</f>
        <v>1.44921875</v>
      </c>
      <c r="BE14" s="220">
        <f>IF(ISNUMBER(BB14/BA14),BB14/BA14, " - ")</f>
        <v>2.4663072776280321</v>
      </c>
      <c r="BF14" s="220">
        <f>IF(ISNUMBER(BC14/BA14),BC14/BA14, " - ")</f>
        <v>0.18059299191374664</v>
      </c>
      <c r="BG14" s="221">
        <f>IF(ISNUMBER((AY14+AZ14)/BA14),(AY14+AZ14)/BA14," - ")</f>
        <v>3.4663072776280321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216</v>
      </c>
      <c r="J17" s="196">
        <v>550</v>
      </c>
      <c r="K17" s="196">
        <v>563</v>
      </c>
      <c r="L17" s="196">
        <v>203</v>
      </c>
      <c r="M17" s="196">
        <v>72</v>
      </c>
      <c r="N17" s="196">
        <v>390</v>
      </c>
      <c r="O17" s="194">
        <v>0</v>
      </c>
      <c r="P17" s="196">
        <v>12</v>
      </c>
      <c r="Q17" s="196">
        <v>9</v>
      </c>
      <c r="R17" s="196">
        <v>35</v>
      </c>
      <c r="S17" s="196">
        <v>330</v>
      </c>
      <c r="T17" s="196">
        <v>578</v>
      </c>
      <c r="U17" s="196">
        <v>643</v>
      </c>
      <c r="V17" s="196">
        <v>290</v>
      </c>
      <c r="W17" s="196">
        <v>107</v>
      </c>
      <c r="X17" s="202">
        <v>420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330</v>
      </c>
      <c r="AZ17" s="137">
        <f t="shared" si="10"/>
        <v>578</v>
      </c>
      <c r="BA17" s="137">
        <f t="shared" si="10"/>
        <v>643</v>
      </c>
      <c r="BB17" s="137">
        <f t="shared" si="10"/>
        <v>290</v>
      </c>
      <c r="BC17" s="135">
        <f>IF(ISNUMBER(W17),W17," - ")</f>
        <v>107</v>
      </c>
      <c r="BD17" s="136">
        <f t="shared" ref="BD17:BD22" si="12">IF(ISNUMBER(BA17/AZ17),BA17/AZ17," - ")</f>
        <v>1.1124567474048443</v>
      </c>
      <c r="BE17" s="137">
        <f t="shared" ref="BE17:BE22" si="13">IF(ISNUMBER(BB17/BA17),BB17/BA17, " - ")</f>
        <v>0.45101088646967341</v>
      </c>
      <c r="BF17" s="137">
        <f t="shared" ref="BF17:BF22" si="14">IF(ISNUMBER(BC17/BA17),BC17/BA17, " - ")</f>
        <v>0.16640746500777606</v>
      </c>
      <c r="BG17" s="209">
        <f t="shared" si="11"/>
        <v>1.4121306376360809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16</v>
      </c>
      <c r="K18" s="196">
        <v>22</v>
      </c>
      <c r="L18" s="196">
        <v>9</v>
      </c>
      <c r="M18" s="196">
        <v>3</v>
      </c>
      <c r="N18" s="196">
        <v>19</v>
      </c>
      <c r="O18" s="196">
        <v>0</v>
      </c>
      <c r="P18" s="196">
        <v>0</v>
      </c>
      <c r="Q18" s="196">
        <v>0</v>
      </c>
      <c r="R18" s="196">
        <v>0</v>
      </c>
      <c r="S18" s="196">
        <v>21</v>
      </c>
      <c r="T18" s="196">
        <v>17</v>
      </c>
      <c r="U18" s="196">
        <v>19</v>
      </c>
      <c r="V18" s="196">
        <v>19</v>
      </c>
      <c r="W18" s="196">
        <v>3</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17</v>
      </c>
      <c r="BA18" s="139">
        <f t="shared" si="15"/>
        <v>19</v>
      </c>
      <c r="BB18" s="139">
        <f t="shared" si="15"/>
        <v>19</v>
      </c>
      <c r="BC18" s="135">
        <f>IF(ISNUMBER(W18),W18," - ")</f>
        <v>3</v>
      </c>
      <c r="BD18" s="136">
        <f>IF(ISNUMBER(BA18/AZ18),BA18/AZ18," - ")</f>
        <v>1.1176470588235294</v>
      </c>
      <c r="BE18" s="137">
        <f>IF(ISNUMBER(BB18/BA18),BB18/BA18, " - ")</f>
        <v>1</v>
      </c>
      <c r="BF18" s="137">
        <f>IF(ISNUMBER(BC18/BA18),BC18/BA18, " - ")</f>
        <v>0.15789473684210525</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231</v>
      </c>
      <c r="J23" s="197">
        <f t="shared" si="21"/>
        <v>566</v>
      </c>
      <c r="K23" s="197">
        <f t="shared" si="21"/>
        <v>585</v>
      </c>
      <c r="L23" s="197">
        <f t="shared" si="21"/>
        <v>212</v>
      </c>
      <c r="M23" s="197">
        <f t="shared" si="21"/>
        <v>75</v>
      </c>
      <c r="N23" s="197">
        <f t="shared" si="21"/>
        <v>409</v>
      </c>
      <c r="O23" s="197">
        <f t="shared" si="21"/>
        <v>0</v>
      </c>
      <c r="P23" s="197">
        <f t="shared" si="21"/>
        <v>12</v>
      </c>
      <c r="Q23" s="197">
        <f t="shared" si="21"/>
        <v>9</v>
      </c>
      <c r="R23" s="197">
        <f t="shared" si="21"/>
        <v>35</v>
      </c>
      <c r="S23" s="197">
        <f t="shared" si="21"/>
        <v>351</v>
      </c>
      <c r="T23" s="197">
        <f t="shared" si="21"/>
        <v>595</v>
      </c>
      <c r="U23" s="197">
        <f t="shared" si="21"/>
        <v>662</v>
      </c>
      <c r="V23" s="197">
        <f t="shared" si="21"/>
        <v>309</v>
      </c>
      <c r="W23" s="197">
        <f t="shared" si="21"/>
        <v>110</v>
      </c>
      <c r="X23" s="197">
        <f t="shared" si="21"/>
        <v>428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351</v>
      </c>
      <c r="AZ23" s="197">
        <f>SUBTOTAL(9,AZ15:AZ22)</f>
        <v>595</v>
      </c>
      <c r="BA23" s="197">
        <f>SUBTOTAL(9,BA15:BA22)</f>
        <v>662</v>
      </c>
      <c r="BB23" s="197">
        <f>SUBTOTAL(9,BB15:BB22)</f>
        <v>309</v>
      </c>
      <c r="BC23" s="197">
        <f>SUBTOTAL(9,BC15:BC22)</f>
        <v>110</v>
      </c>
      <c r="BD23" s="219">
        <f>IF(ISNUMBER(BA23/AZ23),BA23/AZ23," - ")</f>
        <v>1.1126050420168068</v>
      </c>
      <c r="BE23" s="220">
        <f>IF(ISNUMBER(BB23/BA23),BB23/BA23, " - ")</f>
        <v>0.46676737160120846</v>
      </c>
      <c r="BF23" s="220">
        <f>IF(ISNUMBER(BC23/BA23),BC23/BA23, " - ")</f>
        <v>0.16616314199395771</v>
      </c>
      <c r="BG23" s="221">
        <f>IF(ISNUMBER((AY23+AZ23)/BA23),(AY23+AZ23)/BA23," - ")</f>
        <v>1.4290030211480362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987</v>
      </c>
      <c r="J31" s="144">
        <f t="shared" si="36"/>
        <v>826</v>
      </c>
      <c r="K31" s="144">
        <f t="shared" si="36"/>
        <v>835</v>
      </c>
      <c r="L31" s="144">
        <f t="shared" si="36"/>
        <v>978</v>
      </c>
      <c r="M31" s="144">
        <f t="shared" si="36"/>
        <v>165</v>
      </c>
      <c r="N31" s="144">
        <f t="shared" si="36"/>
        <v>475</v>
      </c>
      <c r="O31" s="144">
        <f t="shared" si="36"/>
        <v>137</v>
      </c>
      <c r="P31" s="144">
        <f t="shared" si="36"/>
        <v>53</v>
      </c>
      <c r="Q31" s="144">
        <f t="shared" si="36"/>
        <v>39</v>
      </c>
      <c r="R31" s="144">
        <f t="shared" si="36"/>
        <v>1164</v>
      </c>
      <c r="S31" s="144">
        <f t="shared" si="36"/>
        <v>1345</v>
      </c>
      <c r="T31" s="144">
        <f t="shared" si="36"/>
        <v>815</v>
      </c>
      <c r="U31" s="144">
        <f t="shared" si="36"/>
        <v>1019</v>
      </c>
      <c r="V31" s="144">
        <f t="shared" si="36"/>
        <v>1166</v>
      </c>
      <c r="W31" s="144">
        <f t="shared" si="36"/>
        <v>162</v>
      </c>
      <c r="X31" s="144">
        <f t="shared" si="36"/>
        <v>494</v>
      </c>
      <c r="Y31" s="144">
        <f t="shared" si="36"/>
        <v>28</v>
      </c>
      <c r="Z31" s="144">
        <f t="shared" si="36"/>
        <v>28</v>
      </c>
      <c r="AA31" s="144">
        <f t="shared" si="36"/>
        <v>25</v>
      </c>
      <c r="AB31" s="144">
        <f t="shared" si="36"/>
        <v>31</v>
      </c>
      <c r="AC31" s="144">
        <f t="shared" si="36"/>
        <v>0</v>
      </c>
      <c r="AD31" s="144">
        <f t="shared" si="36"/>
        <v>0</v>
      </c>
      <c r="AE31" s="144">
        <f t="shared" si="36"/>
        <v>0</v>
      </c>
      <c r="AF31" s="144">
        <f t="shared" si="36"/>
        <v>0</v>
      </c>
      <c r="AG31" s="144">
        <f t="shared" si="36"/>
        <v>36</v>
      </c>
      <c r="AH31" s="144">
        <f t="shared" si="36"/>
        <v>36</v>
      </c>
      <c r="AI31" s="144">
        <f t="shared" si="36"/>
        <v>14</v>
      </c>
      <c r="AJ31" s="144">
        <f t="shared" si="36"/>
        <v>58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1381</v>
      </c>
      <c r="AZ31" s="144">
        <f>SUBTOTAL(9,AZ9:AZ30)</f>
        <v>851</v>
      </c>
      <c r="BA31" s="144">
        <f>SUBTOTAL(9,BA9:BA30)</f>
        <v>1033</v>
      </c>
      <c r="BB31" s="144">
        <f>SUBTOTAL(9,BB9:BB30)</f>
        <v>1224</v>
      </c>
      <c r="BC31" s="145">
        <f>SUBTOTAL(9,BC9:BC30)</f>
        <v>177</v>
      </c>
      <c r="BD31" s="227">
        <f>IF(ISNUMBER(BA31/AZ31),BA31/AZ31," - ")</f>
        <v>1.2138660399529966</v>
      </c>
      <c r="BE31" s="224">
        <f>IF(ISNUMBER(BB31/BA31),BB31/BA31, " - ")</f>
        <v>1.1848983543078413</v>
      </c>
      <c r="BF31" s="224">
        <f>IF(ISNUMBER(BC31/BA31),BC31/BA31, " - ")</f>
        <v>0.17134559535333979</v>
      </c>
      <c r="BG31" s="145">
        <f>IF(ISNUMBER((AY31+AZ31)/BA31),(AY31+AZ31)/BA31," - ")</f>
        <v>2.1606969990319458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1sME0rSWrC0igXuVJEcDLoIuBnb7BWcFfncbPGrvqWj2RYjXHd86dHMBR+jRvnXlEgar6M7aeLf65krbX9Eog==" saltValue="1GF/g/HwOjUbeRqBSkVA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2H9xPJMAJBb96bOXOp1aSHO5OF4e5JqFUg3pKc3BFzLgG7jAlGeh5wpq+VzxTlvDaD4J31WbYpQywfKge+FeA==" saltValue="6cUXzxtmFGdEh2dWm3DR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PUENTE GENIL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4</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41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1122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87</v>
      </c>
      <c r="BD12" s="693">
        <f>IF(ISNUMBER(Datos!N12),Datos!N12," - ")</f>
        <v>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0.95104895104895104</v>
      </c>
      <c r="BH12" s="764">
        <f>IF(ISNUMBER(((IF(J_V="SI",Datos!L12/Datos!K12,(Datos!L12+Datos!AB12)/(Datos!K12+Datos!AA12)))*11)/factor_trimestre),((IF(J_V="SI",Datos!L12/Datos!K12,(Datos!L12+Datos!AB12)/(Datos!K12+Datos!AA12)))*11)/factor_trimestre," - ")</f>
        <v>8.7463235294117645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9.9009900990099011E-3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30</v>
      </c>
      <c r="AD14" s="1198">
        <f t="shared" si="2"/>
        <v>0</v>
      </c>
      <c r="AE14" s="1198">
        <f t="shared" si="2"/>
        <v>0</v>
      </c>
      <c r="AF14" s="1198">
        <f t="shared" si="2"/>
        <v>4</v>
      </c>
      <c r="AG14" s="1198">
        <f t="shared" si="2"/>
        <v>0</v>
      </c>
      <c r="AH14" s="1198">
        <f t="shared" si="2"/>
        <v>31</v>
      </c>
      <c r="AI14" s="1198">
        <f t="shared" si="2"/>
        <v>0</v>
      </c>
      <c r="AJ14" s="1198">
        <f t="shared" si="2"/>
        <v>0</v>
      </c>
      <c r="AK14" s="1198">
        <f t="shared" si="2"/>
        <v>0</v>
      </c>
      <c r="AL14" s="1198">
        <f t="shared" si="2"/>
        <v>0</v>
      </c>
      <c r="AM14" s="1198">
        <f t="shared" si="2"/>
        <v>1129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90</v>
      </c>
      <c r="BD14" s="1198">
        <f t="shared" si="2"/>
        <v>66</v>
      </c>
      <c r="BE14" s="1198">
        <f t="shared" si="2"/>
        <v>0</v>
      </c>
      <c r="BF14" s="1198">
        <f t="shared" si="2"/>
        <v>0</v>
      </c>
      <c r="BG14" s="1198">
        <f>IF(ISNUMBER(Datos!K14/Datos!J14),Datos!K14/Datos!J14," - ")</f>
        <v>0.96153846153846156</v>
      </c>
      <c r="BH14" s="1202">
        <f>IF(ISNUMBER(((Datos!L14/Datos!K14)*11)/factor_trimestre),((Datos!L14/Datos!K14)*11)/factor_trimestre," - ")</f>
        <v>9.1920000000000002</v>
      </c>
      <c r="BI14" s="1198">
        <f>IF(ISNUMBER('Resol  Asuntos'!D14/NºAsuntos!G14),'Resol  Asuntos'!D14/NºAsuntos!G14," - ")</f>
        <v>0.32727272727272727</v>
      </c>
      <c r="BJ14" s="1198" t="str">
        <f>IF(ISNUMBER(Datos!CI14/Datos!CJ14),Datos!CI14/Datos!CJ14," - ")</f>
        <v xml:space="preserve"> - </v>
      </c>
      <c r="BK14" s="1198">
        <f>SUBTOTAL(9,BK8:BK13)</f>
        <v>0</v>
      </c>
      <c r="BL14" s="1198">
        <f>IF(ISNUMBER((I14-AB14+L14)/(F14)),(I14-AB14+L14)/(F14)," - ")</f>
        <v>-0.6</v>
      </c>
      <c r="BM14" s="1203">
        <f>SUBTOTAL(9,BM9:BM13)</f>
        <v>9.9009900990099011E-3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216</v>
      </c>
      <c r="G17" s="743">
        <f>IF(ISNUMBER(IF(D_I="SI",Datos!I17,Datos!I17+Datos!AC17)),IF(D_I="SI",Datos!I17,Datos!I17+Datos!AC17)," - ")</f>
        <v>216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563</v>
      </c>
      <c r="AC17" s="240">
        <f>IF(ISNUMBER(Datos!Q17),Datos!Q17," - ")</f>
        <v>9</v>
      </c>
      <c r="AD17" s="374"/>
      <c r="AE17" s="562"/>
      <c r="AF17" s="741">
        <f>IF(ISNUMBER(IF(D_I="SI",Datos!L17,Datos!L17+Datos!AF17)),IF(D_I="SI",Datos!L17,Datos!L17+Datos!AF17)," - ")</f>
        <v>203</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72</v>
      </c>
      <c r="BD17" s="243">
        <f>IF(ISNUMBER(Datos!N17),Datos!N17," - ")</f>
        <v>390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1.0236363636363637</v>
      </c>
      <c r="BH17" s="764">
        <f>IF(ISNUMBER(((IF(D_I="SI",Datos!L17/Datos!K17,(Datos!L17+Datos!AF17)/(Datos!K17+Datos!AE17)))*11)/factor_trimestre),((IF(D_I="SI",Datos!L17/Datos!K17,(Datos!L17+Datos!AF17)/(Datos!K17+Datos!AE17)))*11)/factor_trimestre," - ")</f>
        <v>1.0817051509769096</v>
      </c>
      <c r="BI17" s="266">
        <f>IF(ISNUMBER('Resol  Asuntos'!D17/NºAsuntos!G17),'Resol  Asuntos'!D17/NºAsuntos!G17," - ")</f>
        <v>0.12788632326820604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1.375</v>
      </c>
      <c r="BH18" s="764">
        <f>IF(ISNUMBER(((IF(D_I="SI",Datos!L18/Datos!K18,(Datos!L18+Datos!AF18)/(Datos!K18+Datos!AE18)))*11)/factor_trimestre),((IF(D_I="SI",Datos!L18/Datos!K18,(Datos!L18+Datos!AF18)/(Datos!K18+Datos!AE18)))*11)/factor_trimestre," - ")</f>
        <v>1.2272727272727273</v>
      </c>
      <c r="BI18" s="763">
        <f>IF(ISNUMBER('Resol  Asuntos'!D18/NºAsuntos!G18),'Resol  Asuntos'!D18/NºAsuntos!G18," - ")</f>
        <v>0.13636363636363635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216</v>
      </c>
      <c r="G23" s="1197">
        <f>SUBTOTAL(9,G16:G22)</f>
        <v>231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585</v>
      </c>
      <c r="AC23" s="1198">
        <f t="shared" si="5"/>
        <v>9</v>
      </c>
      <c r="AD23" s="1198">
        <f t="shared" si="5"/>
        <v>0</v>
      </c>
      <c r="AE23" s="1198">
        <f t="shared" si="5"/>
        <v>0</v>
      </c>
      <c r="AF23" s="1198">
        <f t="shared" si="5"/>
        <v>212</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v>
      </c>
      <c r="BD23" s="1198">
        <f t="shared" si="5"/>
        <v>409</v>
      </c>
      <c r="BE23" s="1198">
        <f t="shared" si="5"/>
        <v>0</v>
      </c>
      <c r="BF23" s="1198">
        <f t="shared" si="5"/>
        <v>0</v>
      </c>
      <c r="BG23" s="1198">
        <f>IF(ISNUMBER(Datos!K23/Datos!J23),Datos!K23/Datos!J23," - ")</f>
        <v>1.0335689045936396</v>
      </c>
      <c r="BH23" s="1202">
        <f>IF(ISNUMBER(((Datos!L23/Datos!K23)*11)/factor_trimestre),((Datos!L23/Datos!K23)*11)/factor_trimestre," - ")</f>
        <v>1.0871794871794873</v>
      </c>
      <c r="BI23" s="1198">
        <f>SUBTOTAL(9,BI16:BI22)</f>
        <v>0.26424995963184239</v>
      </c>
      <c r="BJ23" s="1198">
        <f>SUBTOTAL(9,BJ16:BJ22)</f>
        <v>0</v>
      </c>
      <c r="BK23" s="1198">
        <f>SUBTOTAL(9,BK16:BK22)</f>
        <v>0</v>
      </c>
      <c r="BL23" s="1198">
        <f>IF(ISNUMBER((I23-AB23+L23)/(F23)),(I23-AB23+L23)/(F23)," - ")</f>
        <v>-2.7083333333333335</v>
      </c>
      <c r="BM23" s="1205">
        <f>IF(ISNUMBER((Datos!P23-Datos!Q23)/(Datos!R23-Datos!P23+Datos!Q23)),(Datos!P23-Datos!Q23)/(Datos!R23-Datos!P23+Datos!Q23)," - ")</f>
        <v>9.375E-2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221</v>
      </c>
      <c r="G31" s="1117">
        <f t="shared" si="18"/>
        <v>236</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588</v>
      </c>
      <c r="AC31" s="1118">
        <f t="shared" si="19"/>
        <v>39</v>
      </c>
      <c r="AD31" s="1118">
        <f t="shared" si="19"/>
        <v>0</v>
      </c>
      <c r="AE31" s="1118">
        <f t="shared" si="19"/>
        <v>0</v>
      </c>
      <c r="AF31" s="1125">
        <f t="shared" si="19"/>
        <v>216</v>
      </c>
      <c r="AG31" s="1125">
        <f t="shared" si="19"/>
        <v>0</v>
      </c>
      <c r="AH31" s="1125">
        <f t="shared" si="19"/>
        <v>31</v>
      </c>
      <c r="AI31" s="1125">
        <f t="shared" si="19"/>
        <v>0</v>
      </c>
      <c r="AJ31" s="1118">
        <f t="shared" si="19"/>
        <v>0</v>
      </c>
      <c r="AK31" s="1125">
        <f t="shared" si="19"/>
        <v>0</v>
      </c>
      <c r="AL31" s="1125">
        <f t="shared" si="19"/>
        <v>0</v>
      </c>
      <c r="AM31" s="1125">
        <f t="shared" si="19"/>
        <v>1164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165</v>
      </c>
      <c r="BD31" s="1117">
        <f t="shared" si="19"/>
        <v>475</v>
      </c>
      <c r="BE31" s="1117">
        <f t="shared" si="19"/>
        <v>0</v>
      </c>
      <c r="BF31" s="1127">
        <f t="shared" si="19"/>
        <v>0</v>
      </c>
      <c r="BG31" s="1223">
        <f>IF(ISNUMBER(Datos!K31/Datos!J31),Datos!K31/Datos!J31," - ")</f>
        <v>1.0108958837772397</v>
      </c>
      <c r="BH31" s="1223">
        <f>IF(ISNUMBER(((Datos!L31/Datos!K31)*11)/factor_trimestre),((Datos!L31/Datos!K31)*11)/factor_trimestre," - ")</f>
        <v>3.5137724550898208</v>
      </c>
      <c r="BI31" s="1103">
        <f>IF(ISNUMBER(Datos!J31/Datos!I31),Datos!J31/Datos!I31," - ")</f>
        <v>0.83687943262411346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-2.6606334841628958</v>
      </c>
      <c r="BM31" s="1188">
        <f>IF(ISNUMBER((Datos!P31-Datos!Q31+R31)/(Datos!R31-Datos!P31+Datos!Q31-R31)),(Datos!P31-Datos!Q31+R31)/(Datos!R31-Datos!P31+Datos!Q31-R31)," - ")</f>
        <v>1.2173913043478261E-2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110.27359913717638</v>
      </c>
      <c r="G33" s="674">
        <f>IF(ISNUMBER(STDEV(G8:G30)),STDEV(G8:G30),"-")</f>
        <v>106.82205943040221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277.52717584649855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42.901048938225273</v>
      </c>
      <c r="BD33" s="673"/>
      <c r="BE33" s="673">
        <f>IF(ISNUMBER(STDEV(BE8:BE30)),STDEV(BE8:BE30),"-")</f>
        <v>0</v>
      </c>
      <c r="BF33" s="678">
        <f>IF(ISNUMBER(STDEV(BF8:BF30)),STDEV(BF8:BF30),"-")</f>
        <v>0</v>
      </c>
      <c r="BG33" s="1052">
        <f>IF(ISNUMBER(STDEV(BG8:BG30)),STDEV(BG8:BG30),"-")</f>
        <v>0.23547410271564567</v>
      </c>
      <c r="BH33" s="1058">
        <f>IF(ISNUMBER(STDEV(BH8:BH30)),STDEV(BH8:BH30),"-")</f>
        <v>3.8438686033057929</v>
      </c>
      <c r="BI33" s="273">
        <f>IF(ISNUMBER(STDEV(BI8:BI30)),STDEV(BI8:BI30),"-")</f>
        <v>9.7977423493628826E-2</v>
      </c>
      <c r="BJ33" s="244" t="str">
        <f>IF(ISNUMBER(BL33/BM33),BL33/BM33," - ")</f>
        <v xml:space="preserve"> - </v>
      </c>
      <c r="BK33" s="709"/>
      <c r="BL33" s="681">
        <f>IF(ISNUMBER(STDEV(BL8:BL30)),STDEV(BL8:BL30),"-")</f>
        <v>1.4908167970016379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NkLnoZe2DLcmmgDYPTwAW8LmufYlrnkTbrdp6MnU5XayZ7KN4ZzRfs/U5e1b9T1yuwxEYFcR2a/fgCO1x5ttw==" saltValue="YGv8UU/HNpsG23xnpbcQ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PUENTE GENIL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4</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v>
      </c>
      <c r="AA12" s="551" t="str">
        <f>IF(ISNUMBER(IF(J_V="SI",Datos!L12,Datos!L12+Datos!AB12)-IF(Monitorios="SI",Datos!CD12,0)),
                          IF(J_V="SI",Datos!L12,Datos!L12+Datos!AB12)-IF(Monitorios="SI",Datos!CD12,0),
                          " - ")</f>
        <v xml:space="preserve"> - </v>
      </c>
      <c r="AB12" s="549"/>
      <c r="AC12" s="549"/>
      <c r="AD12" s="563"/>
      <c r="AE12" s="563">
        <f>IF(ISNUMBER(Datos!R12),Datos!R12," - ")</f>
        <v>1122</v>
      </c>
      <c r="AF12" s="693" t="str">
        <f>IF(ISNUMBER(Datos!BV12),Datos!BV12," - ")</f>
        <v xml:space="preserve"> - </v>
      </c>
      <c r="AG12" s="552" t="str">
        <f>IF(ISNUMBER(Datos!DV12),Datos!DV12," - ")</f>
        <v xml:space="preserve"> - </v>
      </c>
      <c r="AH12" s="553"/>
      <c r="AI12" s="554"/>
      <c r="AJ12" s="552">
        <f>IF(ISNUMBER(Datos!M12),Datos!M12," - ")</f>
        <v>87</v>
      </c>
      <c r="AK12" s="693">
        <f>IF(ISNUMBER(Datos!N12),Datos!N12," - ")</f>
        <v>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8.7463235294117645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9.9009900990099011E-3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30</v>
      </c>
      <c r="AA14" s="1199">
        <f t="shared" si="3"/>
        <v>4</v>
      </c>
      <c r="AB14" s="1199">
        <f t="shared" si="3"/>
        <v>0</v>
      </c>
      <c r="AC14" s="1199">
        <f t="shared" si="3"/>
        <v>0</v>
      </c>
      <c r="AD14" s="1199">
        <f t="shared" si="3"/>
        <v>0</v>
      </c>
      <c r="AE14" s="1199">
        <f t="shared" si="3"/>
        <v>1129</v>
      </c>
      <c r="AF14" s="1211">
        <f t="shared" si="3"/>
        <v>0</v>
      </c>
      <c r="AG14" s="1211">
        <f t="shared" si="3"/>
        <v>0</v>
      </c>
      <c r="AH14" s="1211">
        <f t="shared" si="3"/>
        <v>0</v>
      </c>
      <c r="AI14" s="1211">
        <f t="shared" si="3"/>
        <v>0</v>
      </c>
      <c r="AJ14" s="1211">
        <f t="shared" si="3"/>
        <v>90</v>
      </c>
      <c r="AK14" s="1211">
        <f t="shared" si="3"/>
        <v>66</v>
      </c>
      <c r="AL14" s="1211">
        <f t="shared" si="3"/>
        <v>0</v>
      </c>
      <c r="AM14" s="1211">
        <f t="shared" si="3"/>
        <v>0</v>
      </c>
      <c r="AN14" s="1211">
        <f t="shared" si="3"/>
        <v>0</v>
      </c>
      <c r="AO14" s="1203">
        <f>IF(ISNUMBER(((NºAsuntos!I14/NºAsuntos!G14)*11)/factor_trimestre),((NºAsuntos!I14/NºAsuntos!G14)*11)/factor_trimestre," - ")</f>
        <v>8.6945454545454552</v>
      </c>
      <c r="AP14" s="1213" t="str">
        <f>IF(ISNUMBER(Datos!CI14/Datos!CJ14),Datos!CI14/Datos!CJ14," - ")</f>
        <v xml:space="preserve"> - </v>
      </c>
      <c r="AQ14" s="1236">
        <f t="shared" ref="AQ14:AV14" si="4">SUBTOTAL(9,AQ9:AQ13)</f>
        <v>0</v>
      </c>
      <c r="AR14" s="1236">
        <f t="shared" si="4"/>
        <v>9.9009900990099011E-3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216</v>
      </c>
      <c r="G17" s="552">
        <f>IF(ISNUMBER(IF(D_I="SI",Datos!I17,Datos!I17+Datos!AC17)),IF(D_I="SI",Datos!I17,Datos!I17+Datos!AC17)," - ")</f>
        <v>216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563</v>
      </c>
      <c r="Z17" s="805">
        <f>IF(ISNUMBER(Datos!Q17),Datos!Q17," - ")</f>
        <v>9</v>
      </c>
      <c r="AA17" s="551">
        <f>IF(ISNUMBER(IF(D_I="SI",Datos!L17,Datos!L17+Datos!AF17)),IF(D_I="SI",Datos!L17,Datos!L17+Datos!AF17)," - ")</f>
        <v>203</v>
      </c>
      <c r="AB17" s="549"/>
      <c r="AC17" s="549"/>
      <c r="AD17" s="563"/>
      <c r="AE17" s="563">
        <f>IF(ISNUMBER(Datos!R17),Datos!R17," - ")</f>
        <v>35</v>
      </c>
      <c r="AF17" s="693" t="str">
        <f>IF(ISNUMBER(Datos!BV17),Datos!BV17," - ")</f>
        <v xml:space="preserve"> - </v>
      </c>
      <c r="AG17" s="552"/>
      <c r="AH17" s="553"/>
      <c r="AI17" s="554"/>
      <c r="AJ17" s="552">
        <f>IF(ISNUMBER(Datos!M17),Datos!M17," - ")</f>
        <v>72</v>
      </c>
      <c r="AK17" s="693">
        <f>IF(ISNUMBER(Datos!N17),Datos!N17," - ")</f>
        <v>390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1.0817051509769096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1.2272727272727273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216</v>
      </c>
      <c r="G23" s="1197">
        <f>SUBTOTAL(9,G16:G22)</f>
        <v>231</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585</v>
      </c>
      <c r="Z23" s="1240">
        <f t="shared" si="6"/>
        <v>9</v>
      </c>
      <c r="AA23" s="1240">
        <f t="shared" si="6"/>
        <v>212</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75</v>
      </c>
      <c r="AK23" s="1240">
        <f t="shared" si="6"/>
        <v>409</v>
      </c>
      <c r="AL23" s="1240">
        <f t="shared" si="6"/>
        <v>0</v>
      </c>
      <c r="AM23" s="1240">
        <f t="shared" si="6"/>
        <v>0</v>
      </c>
      <c r="AN23" s="1240">
        <f t="shared" si="6"/>
        <v>0</v>
      </c>
      <c r="AO23" s="1242">
        <f>IF(ISNUMBER(((NºAsuntos!I23/NºAsuntos!G23)*11)/factor_trimestre),((NºAsuntos!I23/NºAsuntos!G23)*11)/factor_trimestre," - ")</f>
        <v>1.0871794871794873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221</v>
      </c>
      <c r="G31" s="1117">
        <f t="shared" si="12"/>
        <v>236</v>
      </c>
      <c r="H31" s="1118">
        <f t="shared" si="12"/>
        <v>0</v>
      </c>
      <c r="I31" s="1117">
        <f t="shared" si="12"/>
        <v>0</v>
      </c>
      <c r="J31" s="1119">
        <f t="shared" si="12"/>
        <v>0</v>
      </c>
      <c r="K31" s="1117">
        <f t="shared" si="12"/>
        <v>0</v>
      </c>
      <c r="L31" s="1120">
        <f t="shared" si="12"/>
        <v>0</v>
      </c>
      <c r="M31" s="1117">
        <f t="shared" si="12"/>
        <v>0</v>
      </c>
      <c r="N31" s="1118">
        <f t="shared" si="12"/>
        <v>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588</v>
      </c>
      <c r="Z31" s="1124">
        <f t="shared" si="13"/>
        <v>39</v>
      </c>
      <c r="AA31" s="1125">
        <f t="shared" si="13"/>
        <v>216</v>
      </c>
      <c r="AB31" s="1125">
        <f t="shared" si="13"/>
        <v>0</v>
      </c>
      <c r="AC31" s="1125">
        <f t="shared" si="13"/>
        <v>0</v>
      </c>
      <c r="AD31" s="1126">
        <f t="shared" si="13"/>
        <v>0</v>
      </c>
      <c r="AE31" s="1126">
        <f t="shared" si="13"/>
        <v>1164</v>
      </c>
      <c r="AF31" s="1127">
        <f t="shared" si="13"/>
        <v>0</v>
      </c>
      <c r="AG31" s="1128">
        <f t="shared" si="13"/>
        <v>0</v>
      </c>
      <c r="AH31" s="1129">
        <f t="shared" si="13"/>
        <v>0</v>
      </c>
      <c r="AI31" s="1127">
        <f t="shared" si="13"/>
        <v>0</v>
      </c>
      <c r="AJ31" s="1117">
        <f t="shared" si="13"/>
        <v>165</v>
      </c>
      <c r="AK31" s="1117">
        <f t="shared" si="13"/>
        <v>475</v>
      </c>
      <c r="AL31" s="1117">
        <f t="shared" si="13"/>
        <v>0</v>
      </c>
      <c r="AM31" s="1130">
        <f t="shared" si="13"/>
        <v>0</v>
      </c>
      <c r="AN31" s="1120">
        <f>IF(ISNUMBER(Datos!K31/Datos!J31),Datos!K31/Datos!J31," - ")</f>
        <v>1.0108958837772397</v>
      </c>
      <c r="AO31" s="1120">
        <f>IF(ISNUMBER(FIND("06",Criterios!A8,1)),(IF(ISNUMBER(((Datos!R31/Datos!Q31)*11)/factor_trimestre),((Datos!R31/Datos!Q31)*11)/factor_trimestre," - ")),(IF(ISNUMBER(((Datos!L31/Datos!K31)*11)/factor_trimestre),((Datos!L31/Datos!K31)*11)/factor_trimestre," - ")))</f>
        <v>3.5137724550898208</v>
      </c>
      <c r="AP31" s="1131" t="str">
        <f>IF(ISNUMBER(Datos!CI31/Datos!CJ31),Datos!CI31/Datos!CJ31," - ")</f>
        <v xml:space="preserve"> - </v>
      </c>
      <c r="AQ31" s="1131">
        <f>IF(OR(ISNUMBER(FIND("01",Criterios!A8,1)),ISNUMBER(FIND("02",Criterios!A8,1)),ISNUMBER(FIND("03",Criterios!A8,1)),ISNUMBER(FIND("04",Criterios!A8,1))),(J31-Y31+K31)/(F31-K31),(I31-Y31+K31)/(F31-K31))</f>
        <v>-2.6606334841628958</v>
      </c>
      <c r="AR31" s="1131">
        <f>IF(ISNUMBER((Datos!P31-Datos!Q31+O31)/(Datos!R31-Datos!P31+Datos!Q31-O31)),(Datos!P31-Datos!Q31+O31)/(Datos!R31-Datos!P31+Datos!Q31-O31)," - ")</f>
        <v>1.2173913043478261E-2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110.27359913717638</v>
      </c>
      <c r="G33" s="674">
        <f>IF(ISNUMBER(STDEV(G8:G30)),STDEV(G8:G30),"-")</f>
        <v>106.82205943040221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42.901048938225273</v>
      </c>
      <c r="AK33" s="276"/>
      <c r="AL33" s="276">
        <f>IF(ISNUMBER(STDEV(AL8:AL30)),STDEV(AL8:AL30),"-")</f>
        <v>0</v>
      </c>
      <c r="AM33" s="278">
        <f>IF(ISNUMBER(STDEV(AM8:AM30)),STDEV(AM8:AM30),"-")</f>
        <v>0</v>
      </c>
      <c r="AN33" s="660">
        <f>IF(ISNUMBER(STDEV(AN8:AN30)),STDEV(AN8:AN30),"-")</f>
        <v>0</v>
      </c>
      <c r="AO33" s="661">
        <f>IF(ISNUMBER(STDEV(AO8:AO30)),STDEV(AO8:AO30),"-")</f>
        <v>3.718563161053337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R4mBCK473Y2mWbCAU+yx3B98Vt6qmw602Axl6ABnat1Nmf2DNLYjziUuELa/nuImGKoJ70LIARdODUpm+sMIw==" saltValue="0e7shF0ElPcYuRWH92AJ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FV85TnjgmstEvE/4oJtzcnVxmDGjK4beUI/y5CHWx1VrhNnUyCEQScWNtpm37B03nISAXUJ/G8jmjzBuq8IHA==" saltValue="2xGEHQTsHZoy2gm9Qpe+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VQs81lggxgFTntKGrafbK/hHZBl86s8FeMNX84xBQBgyZ/sFSfMeCrJFZAOmGQHC6kAYz+F9X3pCIoSglOusQ==" saltValue="Xjg0Xbj6fgX6zjnQvmfk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PUENTE GENIL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0.32727272727272727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0.23141676475196102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dmCdqs1VBbUwnwOzdeQ5fPvDPf4Is/oIZXHpeVIQi+136paLR9lKzdms5WO6kusFoCawaSZMkfdD3dYucSAA==" saltValue="yrN3ENGJ562rlDbCID5Z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ee5Oyzgp3WMBHZFZGufaXpjxD0+eCLlLpom9lz5upuLFfcq7yQYZftfOtm3GC1x+mr9SmmoZxuIQJzKC9w+kA==" saltValue="ZuCC27Mw0XKSnKnc9m9n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PUENTE GENIL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2</v>
      </c>
      <c r="F10" s="452">
        <f>IF(ISNUMBER(E10/B10),E10/B10," - ")</f>
        <v>2</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779</v>
      </c>
      <c r="D12" s="452">
        <f>IF(ISNUMBER(C12/Datos!BH12),C12/Datos!BH12," - ")</f>
        <v>389.5</v>
      </c>
      <c r="E12" s="451">
        <f>IF(ISNUMBER(IF(J_V="SI",Datos!J12,Datos!J12+Datos!Z12)),IF(J_V="SI",Datos!J12,Datos!J12+Datos!Z12)," - ")</f>
        <v>286</v>
      </c>
      <c r="F12" s="452">
        <f>IF(ISNUMBER(E12/B12),E12/B12," - ")</f>
        <v>143</v>
      </c>
      <c r="G12" s="451">
        <f>IF(ISNUMBER(IF(J_V="SI",Datos!K12,Datos!K12+Datos!AA12)),IF(J_V="SI",Datos!K12,Datos!K12+Datos!AA12)," - ")</f>
        <v>272</v>
      </c>
      <c r="H12" s="452">
        <f>IF(ISNUMBER(G12/B12),G12/B12," - ")</f>
        <v>136</v>
      </c>
      <c r="I12" s="451">
        <f>IF(ISNUMBER(IF(J_V="SI",Datos!L12,Datos!L12+Datos!AB12)),IF(J_V="SI",Datos!L12,Datos!L12+Datos!AB12)," - ")</f>
        <v>793</v>
      </c>
      <c r="J12" s="452">
        <f>IF(ISNUMBER(I12/B12),I12/B12," - ")</f>
        <v>396.5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784</v>
      </c>
      <c r="D14" s="1147" t="str">
        <f>IF(ISNUMBER(C14/Datos!BI14),C14/Datos!BI14," - ")</f>
        <v xml:space="preserve"> - </v>
      </c>
      <c r="E14" s="1146">
        <f>SUBTOTAL(9,E8:E13)</f>
        <v>288</v>
      </c>
      <c r="F14" s="1147">
        <f>IF(ISNUMBER(E14/B14),E14/B14," - ")</f>
        <v>144</v>
      </c>
      <c r="G14" s="1146">
        <f>SUBTOTAL(9,G8:G13)</f>
        <v>275</v>
      </c>
      <c r="H14" s="1147">
        <f>IF(ISNUMBER(G14/B14),G14/B14," - ")</f>
        <v>137.5</v>
      </c>
      <c r="I14" s="1146">
        <f>SUBTOTAL(9,I8:I13)</f>
        <v>797</v>
      </c>
      <c r="J14" s="1147">
        <f>IF(ISNUMBER(I14/B14),I14/B14," - ")</f>
        <v>398.5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216</v>
      </c>
      <c r="D17" s="452">
        <f>IF(ISNUMBER(C17/Datos!BH17),C17/Datos!BH17," - ")</f>
        <v>108</v>
      </c>
      <c r="E17" s="451">
        <f>IF(ISNUMBER(IF(D_I="SI",Datos!J17,Datos!J17+Datos!AD17)),IF(D_I="SI",Datos!J17,Datos!J17+Datos!AD17)," - ")</f>
        <v>550</v>
      </c>
      <c r="F17" s="452">
        <f>IF(ISNUMBER(E17/B17),E17/B17," - ")</f>
        <v>275</v>
      </c>
      <c r="G17" s="451">
        <f>IF(ISNUMBER(IF(D_I="SI",Datos!K17,Datos!K17+Datos!AE17)),IF(D_I="SI",Datos!K17,Datos!K17+Datos!AE17)," - ")</f>
        <v>563</v>
      </c>
      <c r="H17" s="452">
        <f>IF(ISNUMBER(G17/B17),G17/B17," - ")</f>
        <v>281.5</v>
      </c>
      <c r="I17" s="451">
        <f>IF(ISNUMBER(IF(D_I="SI",Datos!L17,Datos!L17+Datos!AF17)),IF(D_I="SI",Datos!L17,Datos!L17+Datos!AF17)," - ")</f>
        <v>203</v>
      </c>
      <c r="J17" s="452">
        <f>IF(ISNUMBER(I17/B17),I17/B17," - ")</f>
        <v>101.5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16</v>
      </c>
      <c r="F18" s="452">
        <f>IF(ISNUMBER(E18/B18),E18/B18," - ")</f>
        <v>16</v>
      </c>
      <c r="G18" s="451">
        <f>IF(ISNUMBER(IF(D_I="SI",Datos!K18,Datos!K18+Datos!AE18)),IF(D_I="SI",Datos!K18,Datos!K18+Datos!AE18)," - ")</f>
        <v>22</v>
      </c>
      <c r="H18" s="452">
        <f>IF(ISNUMBER(G18/B18),G18/B18," - ")</f>
        <v>22</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231</v>
      </c>
      <c r="D23" s="1147" t="str">
        <f>IF(ISNUMBER(C23/Datos!BI23),C23/Datos!BI23," - ")</f>
        <v xml:space="preserve"> - </v>
      </c>
      <c r="E23" s="1146">
        <f>SUBTOTAL(9,E15:E22)</f>
        <v>566</v>
      </c>
      <c r="F23" s="1147">
        <f>IF(ISNUMBER(E23/B23),E23/B23," - ")</f>
        <v>283</v>
      </c>
      <c r="G23" s="1146">
        <f>SUBTOTAL(9,G15:G22)</f>
        <v>585</v>
      </c>
      <c r="H23" s="1147">
        <f>IF(ISNUMBER(G23/B23),G23/B23," - ")</f>
        <v>292.5</v>
      </c>
      <c r="I23" s="1146">
        <f>SUBTOTAL(9,I15:I22)</f>
        <v>212</v>
      </c>
      <c r="J23" s="1147">
        <f>IF(ISNUMBER(I23/B23),I23/B23," - ")</f>
        <v>106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1015</v>
      </c>
      <c r="D31" s="1085" t="str">
        <f>IF(ISNUMBER(C31/Datos!BI31),C31/Datos!BI31," - ")</f>
        <v xml:space="preserve"> - </v>
      </c>
      <c r="E31" s="1084">
        <f>SUBTOTAL(9,E9:E30)</f>
        <v>854</v>
      </c>
      <c r="F31" s="1085">
        <f>IF(ISNUMBER(E31/B31),E31/B31," - ")</f>
        <v>427</v>
      </c>
      <c r="G31" s="1084">
        <f>SUBTOTAL(9,G9:G30)</f>
        <v>860</v>
      </c>
      <c r="H31" s="1085">
        <f>IF(ISNUMBER(G31/B31),G31/B31," - ")</f>
        <v>430</v>
      </c>
      <c r="I31" s="1084">
        <f>SUBTOTAL(9,I9:I30)</f>
        <v>1009</v>
      </c>
      <c r="J31" s="1085">
        <f>IF(ISNUMBER(I31/B31),I31/B31," - ")</f>
        <v>504.5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rmF7AThfLyT2uaUZlztSpmXobM3PR6xk3/qPp6NYyA84f/dYg40jaFbGlXuajWZ0X+TbmVgERZA5uCAGlCIBw==" saltValue="uKWIBBbSSyOHAx4r0akz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PUENTE GENIL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87</v>
      </c>
      <c r="AM12" s="914">
        <f>IF(ISNUMBER(Datos!N12+DatosP!N17),Datos!N12+DatosP!N17," - ")</f>
        <v>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8.7463235294117645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9.9009900990099011E-3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30</v>
      </c>
      <c r="AE14" s="1257">
        <f t="shared" si="1"/>
        <v>0</v>
      </c>
      <c r="AF14" s="1257">
        <f t="shared" si="1"/>
        <v>4</v>
      </c>
      <c r="AG14" s="1257">
        <f t="shared" si="1"/>
        <v>0</v>
      </c>
      <c r="AH14" s="1257">
        <f t="shared" si="1"/>
        <v>1122</v>
      </c>
      <c r="AI14" s="1257">
        <f t="shared" si="1"/>
        <v>0</v>
      </c>
      <c r="AJ14" s="1257">
        <f t="shared" si="1"/>
        <v>0</v>
      </c>
      <c r="AK14" s="1257">
        <f t="shared" si="1"/>
        <v>0</v>
      </c>
      <c r="AL14" s="1257">
        <f t="shared" si="1"/>
        <v>90</v>
      </c>
      <c r="AM14" s="1257">
        <f t="shared" si="1"/>
        <v>66</v>
      </c>
      <c r="AN14" s="1257">
        <f t="shared" si="1"/>
        <v>0</v>
      </c>
      <c r="AO14" s="1257">
        <f t="shared" si="1"/>
        <v>0</v>
      </c>
      <c r="AP14" s="1262">
        <f>IF(ISNUMBER(((Datos!L14/Datos!K14)*11)/factor_trimestre),((Datos!L14/Datos!K14)*11)/factor_trimestre," - ")</f>
        <v>9.1920000000000002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9.9009900990099011E-3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1.0871794871794873</v>
      </c>
      <c r="AQ23" s="1262">
        <f>IF(ISNUMBER(((Datos!M23/Datos!L23)*11)/factor_trimestre),((Datos!M23/Datos!L23)*11)/factor_trimestre," - ")</f>
        <v>1.0613207547169812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9.375E-2</v>
      </c>
      <c r="AW23" s="1265">
        <f>IF(ISNUMBER((Datos!Q23-Datos!R23)/(Datos!S23-Datos!Q23+Datos!R23)),(Datos!Q23-Datos!R23)/(Datos!S23-Datos!Q23+Datos!R23)," - ")</f>
        <v>-6.8965517241379309E-2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30</v>
      </c>
      <c r="AE31" s="1284">
        <f t="shared" si="9"/>
        <v>0</v>
      </c>
      <c r="AF31" s="1285">
        <f t="shared" si="9"/>
        <v>4</v>
      </c>
      <c r="AG31" s="1285">
        <f t="shared" si="9"/>
        <v>0</v>
      </c>
      <c r="AH31" s="1285">
        <f t="shared" si="9"/>
        <v>1122</v>
      </c>
      <c r="AI31" s="1285">
        <f t="shared" si="9"/>
        <v>0</v>
      </c>
      <c r="AJ31" s="1286">
        <f t="shared" si="9"/>
        <v>0</v>
      </c>
      <c r="AK31" s="1286">
        <f t="shared" si="9"/>
        <v>0</v>
      </c>
      <c r="AL31" s="1278">
        <f t="shared" si="9"/>
        <v>90</v>
      </c>
      <c r="AM31" s="1278">
        <f t="shared" si="9"/>
        <v>66</v>
      </c>
      <c r="AN31" s="1278">
        <f t="shared" si="9"/>
        <v>0</v>
      </c>
      <c r="AO31" s="1278">
        <f t="shared" si="9"/>
        <v>0</v>
      </c>
      <c r="AP31" s="1278">
        <f>IF(ISNUMBER(((Datos!L31/Datos!K31)*11)/factor_trimestre),((Datos!L31/Datos!K31)*11)/factor_trimestre," - ")</f>
        <v>3.5137724550898208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1.2173913043478261E-2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45.338725169550145</v>
      </c>
      <c r="AM33" s="1006"/>
      <c r="AN33" s="1006">
        <f>IF(ISNUMBER(STDEV(AN8:AN30)),STDEV(AN8:AN30),"-")</f>
        <v>0</v>
      </c>
      <c r="AO33" s="1012">
        <f>IF(ISNUMBER(STDEV(AO8:AO30)),STDEV(AO8:AO30),"-")</f>
        <v>0</v>
      </c>
      <c r="AP33" s="1065">
        <f>IF(ISNUMBER(STDEV(AP8:AP30)),STDEV(AP8:AP30),"-")</f>
        <v>3.8999808216076524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0GffmpIYfiARHERfQL129oiIhDhuiZTVNbKwfwMIEXSaOuNBQWeN5HVOa0WRd29Id7iWCPz1t1KMZj0o5+/nA==" saltValue="n4yAn3YvV5q7nS9nM50F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PUENTE GENIL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3yhD0+V+NYHVyY9ijvr3qcLClCWseoXWzPyzwues03gDT5kFdXQ/CAn/adKYyo2IY311JDu6j5DibTWeFjNug==" saltValue="8ubYWVfsm5k1/WlGnyurt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PUENTE GENIL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87</v>
      </c>
      <c r="E12" s="452">
        <f t="shared" si="0"/>
        <v>43.5</v>
      </c>
      <c r="F12" s="451">
        <f>IF(ISNUMBER(Datos!N12),Datos!N12," - ")</f>
        <v>66</v>
      </c>
      <c r="G12" s="452">
        <f t="shared" si="1"/>
        <v>33</v>
      </c>
      <c r="H12" s="451">
        <f>IF(ISNUMBER(Datos!O12),Datos!O12," - ")</f>
        <v>137</v>
      </c>
      <c r="I12" s="452">
        <f t="shared" si="2"/>
        <v>68.5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90</v>
      </c>
      <c r="E14" s="1147">
        <f t="shared" si="0"/>
        <v>30</v>
      </c>
      <c r="F14" s="1146">
        <f>SUBTOTAL(9,F9:F13)</f>
        <v>66</v>
      </c>
      <c r="G14" s="1147">
        <f t="shared" si="1"/>
        <v>22</v>
      </c>
      <c r="H14" s="1146">
        <f>SUBTOTAL(9,H9:H13)</f>
        <v>137</v>
      </c>
      <c r="I14" s="1147">
        <f>IF(ISNUMBER(H14/B14),H14/B14," - ")</f>
        <v>45.666666666666664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72</v>
      </c>
      <c r="E17" s="452">
        <f t="shared" si="3"/>
        <v>36</v>
      </c>
      <c r="F17" s="451">
        <f>IF(ISNUMBER(Datos!N17),Datos!N17," - ")</f>
        <v>390</v>
      </c>
      <c r="G17" s="452">
        <f t="shared" si="4"/>
        <v>195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75</v>
      </c>
      <c r="E23" s="1147">
        <f t="shared" si="3"/>
        <v>25</v>
      </c>
      <c r="F23" s="1146">
        <f>SUBTOTAL(9,F16:F22)</f>
        <v>409</v>
      </c>
      <c r="G23" s="1147">
        <f t="shared" si="4"/>
        <v>136.33333333333334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165</v>
      </c>
      <c r="E31" s="1085">
        <f>IF(ISNUMBER(D31/B31),D31/B31," - ")</f>
        <v>82.5</v>
      </c>
      <c r="F31" s="1084">
        <f>SUBTOTAL(9,F8:F30)</f>
        <v>475</v>
      </c>
      <c r="G31" s="1085">
        <f>IF(ISNUMBER(F31/B31),F31/B31," - ")</f>
        <v>237.5</v>
      </c>
      <c r="H31" s="1084">
        <f>SUBTOTAL(9,H8:H30)</f>
        <v>137</v>
      </c>
      <c r="I31" s="1085">
        <f>IF(ISNUMBER(H31/B31),H31/B31," - ")</f>
        <v>68.5</v>
      </c>
    </row>
    <row r="34" spans="1:1">
      <c r="A34" s="439" t="str">
        <f>Criterios!A4</f>
        <v>Fecha Informe: 05 may. 2023</v>
      </c>
    </row>
    <row r="39" spans="1:1">
      <c r="A39" s="462"/>
    </row>
  </sheetData>
  <sheetProtection algorithmName="SHA-512" hashValue="LadPDYpi53jAI4xEK6m0xfYyzLPogI6iOESnT4TkIOVtMOmtWpGnoL253y7K8sUDYJYwEdbw80yITF5yuA5srA==" saltValue="mg8WeUzCRTvx5US9qi1/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PUENTE GENIL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v>
      </c>
      <c r="C12" s="489">
        <f>IF(ISNUMBER(Datos!Q12),Datos!Q12," - ")</f>
        <v>30</v>
      </c>
      <c r="D12" s="456">
        <f>IF(ISNUMBER(Datos!R12),Datos!R12," - ")</f>
        <v>1122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v>
      </c>
      <c r="C14" s="1150">
        <f>SUBTOTAL(9,C9:C13)</f>
        <v>30</v>
      </c>
      <c r="D14" s="1148">
        <f>SUBTOTAL(9,D9:D13)</f>
        <v>1129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9</v>
      </c>
      <c r="D17" s="456">
        <f>IF(ISNUMBER(Datos!R17),Datos!R17," - ")</f>
        <v>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9</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v>
      </c>
      <c r="C31" s="1089">
        <f>SUBTOTAL(9,C8:C30)</f>
        <v>39</v>
      </c>
      <c r="D31" s="1090">
        <f>SUBTOTAL(9,D8:D30)</f>
        <v>1164</v>
      </c>
    </row>
    <row r="32" spans="1:4" ht="7.5" customHeight="1"/>
    <row r="33" spans="1:1" ht="6" customHeight="1"/>
    <row r="34" spans="1:1">
      <c r="A34" s="439" t="str">
        <f>Criterios!A4</f>
        <v>Fecha Informe: 05 may. 2023</v>
      </c>
    </row>
    <row r="39" spans="1:1">
      <c r="A39" s="462"/>
    </row>
  </sheetData>
  <sheetProtection algorithmName="SHA-512" hashValue="FJIRyFtl4rM0wI1fAlDGVTYlT9nEsPhmjGFZpoMZaU/j2FfwiteeNolRmSs9uaJB4v2UxnEOO7b0goV5JClU2Q==" saltValue="TfqVbmC9cGoHp0OjGI02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PUENTE GENIL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1</v>
      </c>
      <c r="D10" s="515">
        <f>IF(ISNUMBER((Datos!K10-Datos!U10)/Datos!U10),(Datos!K10-Datos!U10)/Datos!U10," - ")</f>
        <v>2</v>
      </c>
      <c r="E10" s="515">
        <f>IF(ISNUMBER((Datos!L10-Datos!V10)/Datos!V10),(Datos!L10-Datos!V10)/Datos!V10," - ")</f>
        <v>0.33333333333333331</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-0.55555555555555558</v>
      </c>
      <c r="J10" s="521">
        <f>IF(ISNUMBER((('Resol  Asuntos'!D10/NºAsuntos!G10)-Datos!BF10)/Datos!BF10),(('Resol  Asuntos'!D10/NºAsuntos!G10)-Datos!BF10)/Datos!BF10," - ")</f>
        <v>0</v>
      </c>
      <c r="K10" s="522">
        <f>IF(ISNUMBER((((NºAsuntos!C10+NºAsuntos!E10)/NºAsuntos!G10)-Datos!BG10)/Datos!BG10),(((NºAsuntos!C10+NºAsuntos!E10)/NºAsuntos!G10)-Datos!BG10)/Datos!BG10," - ")</f>
        <v>-0.41666666666666663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-0.24148003894839337</v>
      </c>
      <c r="C12" s="515">
        <f>IF(ISNUMBER(
   IF(J_V="SI",(Datos!J12-Datos!T12)/Datos!T12,(Datos!J12+Datos!Z12-(Datos!T12+Datos!AH12))/(Datos!T12+Datos!AH12))
     ),IF(J_V="SI",(Datos!J12-Datos!T12)/Datos!T12,(Datos!J12+Datos!Z12-(Datos!T12+Datos!AH12))/(Datos!T12+Datos!AH12))," - ")</f>
        <v>0.12156862745098039</v>
      </c>
      <c r="D12" s="515">
        <f>IF(ISNUMBER(
   IF(J_V="SI",(Datos!K12-Datos!U12)/Datos!U12,(Datos!K12+Datos!AA12-(Datos!U12+Datos!AI12))/(Datos!U12+Datos!AI12))
     ),IF(J_V="SI",(Datos!K12-Datos!U12)/Datos!U12,(Datos!K12+Datos!AA12-(Datos!U12+Datos!AI12))/(Datos!U12+Datos!AI12))," - ")</f>
        <v>-0.26486486486486488</v>
      </c>
      <c r="E12" s="515">
        <f>IF(ISNUMBER(
   IF(J_V="SI",(Datos!L12-Datos!V12)/Datos!V12,(Datos!L12+Datos!AB12-(Datos!V12+Datos!AJ12))/(Datos!V12+Datos!AJ12))
     ),IF(J_V="SI",(Datos!L12-Datos!V12)/Datos!V12,(Datos!L12+Datos!AB12-(Datos!V12+Datos!AJ12))/(Datos!V12+Datos!AJ12))," - ")</f>
        <v>-0.13048245614035087</v>
      </c>
      <c r="F12" s="515">
        <f>IF(ISNUMBER((Datos!M12-Datos!W12)/Datos!W12),(Datos!M12-Datos!W12)/Datos!W12," - ")</f>
        <v>0.70588235294117652</v>
      </c>
      <c r="G12" s="516">
        <f>IF(ISNUMBER((Datos!N12-Datos!X12)/Datos!X12),(Datos!N12-Datos!X12)/Datos!X12," - ")</f>
        <v>0</v>
      </c>
      <c r="H12" s="514">
        <f>IF(ISNUMBER(((NºAsuntos!G12/NºAsuntos!E12)-Datos!BD12)/Datos!BD12),((NºAsuntos!G12/NºAsuntos!E12)-Datos!BD12)/Datos!BD12," - ")</f>
        <v>-0.34454734454734454</v>
      </c>
      <c r="I12" s="515">
        <f>IF(ISNUMBER(((NºAsuntos!I12/NºAsuntos!G12)-Datos!BE12)/Datos!BE12),((NºAsuntos!I12/NºAsuntos!G12)-Datos!BE12)/Datos!BE12," - ")</f>
        <v>0.18279960010319915</v>
      </c>
      <c r="J12" s="521">
        <f>IF(ISNUMBER((('Resol  Asuntos'!D12/NºAsuntos!G12)-Datos!BF12)/Datos!BF12),(('Resol  Asuntos'!D12/NºAsuntos!G12)-Datos!BF12)/Datos!BF12," - ")</f>
        <v>0.79311497326203184</v>
      </c>
      <c r="K12" s="522">
        <f>IF(ISNUMBER((((NºAsuntos!C12+NºAsuntos!E12)/NºAsuntos!G12)-Datos!BG12)/Datos!BG12),(((NºAsuntos!C12+NºAsuntos!E12)/NºAsuntos!G12)-Datos!BG12)/Datos!BG12," - ")</f>
        <v>0.13004152519041937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-0.23883495145631067</v>
      </c>
      <c r="C14" s="1152">
        <f>IF(ISNUMBER(
   IF(J_V="SI",(Datos!J14-Datos!T14)/Datos!T14,(Datos!J14+Datos!Z14-(Datos!T14+Datos!AH14))/(Datos!T14+Datos!AH14))
     ),IF(J_V="SI",(Datos!J14-Datos!T14)/Datos!T14,(Datos!J14+Datos!Z14-(Datos!T14+Datos!AH14))/(Datos!T14+Datos!AH14))," - ")</f>
        <v>0.125</v>
      </c>
      <c r="D14" s="1152">
        <f>IF(ISNUMBER(
   IF(J_V="SI",(Datos!K14-Datos!U14)/Datos!U14,(Datos!K14+Datos!AA14-(Datos!U14+Datos!AI14))/(Datos!U14+Datos!AI14))
     ),IF(J_V="SI",(Datos!K14-Datos!U14)/Datos!U14,(Datos!K14+Datos!AA14-(Datos!U14+Datos!AI14))/(Datos!U14+Datos!AI14))," - ")</f>
        <v>-0.2587601078167116</v>
      </c>
      <c r="E14" s="1152">
        <f>IF(ISNUMBER(
   IF(J_V="SI",(Datos!L14-Datos!V14)/Datos!V14,(Datos!L14+Datos!AB14-(Datos!V14+Datos!AJ14))/(Datos!V14+Datos!AJ14))
     ),IF(J_V="SI",(Datos!L14-Datos!V14)/Datos!V14,(Datos!L14+Datos!AB14-(Datos!V14+Datos!AJ14))/(Datos!V14+Datos!AJ14))," - ")</f>
        <v>-0.12896174863387977</v>
      </c>
      <c r="F14" s="1153">
        <f>IF(ISNUMBER((Datos!M14-Datos!W14)/Datos!W14),(Datos!M14-Datos!W14)/Datos!W14," - ")</f>
        <v>0.73076923076923073</v>
      </c>
      <c r="G14" s="1154">
        <f>IF(ISNUMBER((Datos!N14-Datos!X14)/Datos!X14),(Datos!N14-Datos!X14)/Datos!X14," - ")</f>
        <v>0</v>
      </c>
      <c r="H14" s="1154">
        <f>IF(ISNUMBER(((NºAsuntos!G14/NºAsuntos!E14)-Datos!BD14)/Datos!BD14),((NºAsuntos!G14/NºAsuntos!E14)-Datos!BD14)/Datos!BD14," - ")</f>
        <v>-0.34112009583707692</v>
      </c>
      <c r="I14" s="1154">
        <f>IF(ISNUMBER(((NºAsuntos!I14/NºAsuntos!G14)-Datos!BE14)/Datos!BE14),((NºAsuntos!I14/NºAsuntos!G14)-Datos!BE14)/Datos!BE14," - ")</f>
        <v>0.17510978638847491</v>
      </c>
      <c r="J14" s="1154">
        <f>IF(ISNUMBER((('Resol  Asuntos'!D14/NºAsuntos!G14)-Datos!BF14)/Datos!BF14),(('Resol  Asuntos'!D14/NºAsuntos!G14)-Datos!BF14)/Datos!BF14," - ")</f>
        <v>0.81221166892808672</v>
      </c>
      <c r="K14" s="1154">
        <f>IF(ISNUMBER((((NºAsuntos!C14+NºAsuntos!E14)/NºAsuntos!G14)-Datos!BG14)/Datos!BG14),(((NºAsuntos!C14+NºAsuntos!E14)/NºAsuntos!G14)-Datos!BG14)/Datos!BG14," - ")</f>
        <v>0.12459211084405486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-0.34545454545454546</v>
      </c>
      <c r="C17" s="515">
        <f>IF(ISNUMBER(
   IF(D_I="SI",(Datos!J17-Datos!T17)/Datos!T17,(Datos!J17+Datos!AD17-(Datos!T17+Datos!AL17))/(Datos!T17+Datos!AL17))
     ),IF(D_I="SI",(Datos!J17-Datos!T17)/Datos!T17,(Datos!J17+Datos!AD17-(Datos!T17+Datos!AL17))/(Datos!T17+Datos!AL17))," - ")</f>
        <v>-4.8442906574394463E-2</v>
      </c>
      <c r="D17" s="515">
        <f>IF(ISNUMBER(
   IF(D_I="SI",(Datos!K17-Datos!U17)/Datos!U17,(Datos!K17+Datos!AE17-(Datos!U17+Datos!AM17))/(Datos!U17+Datos!AM17))
     ),IF(D_I="SI",(Datos!K17-Datos!U17)/Datos!U17,(Datos!K17+Datos!AE17-(Datos!U17+Datos!AM17))/(Datos!U17+Datos!AM17))," - ")</f>
        <v>-0.12441679626749612</v>
      </c>
      <c r="E17" s="515">
        <f>IF(ISNUMBER(
   IF(D_I="SI",(Datos!L17-Datos!V17)/Datos!V17,(Datos!L17+Datos!AF17-(Datos!V17+Datos!AN17))/(Datos!V17+Datos!AN17))
     ),IF(D_I="SI",(Datos!L17-Datos!V17)/Datos!V17,(Datos!L17+Datos!AF17-(Datos!V17+Datos!AN17))/(Datos!V17+Datos!AN17))," - ")</f>
        <v>-0.3</v>
      </c>
      <c r="F17" s="515">
        <f>IF(ISNUMBER((Datos!M17-Datos!W17)/Datos!W17),(Datos!M17-Datos!W17)/Datos!W17," - ")</f>
        <v>-0.32710280373831774</v>
      </c>
      <c r="G17" s="516">
        <f>IF(ISNUMBER((Datos!N17-Datos!X17)/Datos!X17),(Datos!N17-Datos!X17)/Datos!X17," - ")</f>
        <v>-7.1428571428571425E-2</v>
      </c>
      <c r="H17" s="514">
        <f>IF(ISNUMBER(((NºAsuntos!G17/NºAsuntos!E17)-Datos!BD17)/Datos!BD17),((NºAsuntos!G17/NºAsuntos!E17)-Datos!BD17)/Datos!BD17," - ")</f>
        <v>-7.9841651350205017E-2</v>
      </c>
      <c r="I17" s="515">
        <f>IF(ISNUMBER(((NºAsuntos!I17/NºAsuntos!G17)-Datos!BE17)/Datos!BE17),((NºAsuntos!I17/NºAsuntos!G17)-Datos!BE17)/Datos!BE17," - ")</f>
        <v>-0.20053285968028417</v>
      </c>
      <c r="J17" s="521">
        <f>IF(ISNUMBER((('Resol  Asuntos'!D17/NºAsuntos!G17)-Datos!BF17)/Datos!BF17),(('Resol  Asuntos'!D17/NºAsuntos!G17)-Datos!BF17)/Datos!BF17," - ")</f>
        <v>-0.23148686110788341</v>
      </c>
      <c r="K17" s="522">
        <f>IF(ISNUMBER((((NºAsuntos!C17+NºAsuntos!E17)/NºAsuntos!G17)-Datos!BG17)/Datos!BG17),(((NºAsuntos!C17+NºAsuntos!E17)/NºAsuntos!G17)-Datos!BG17)/Datos!BG17," - ")</f>
        <v>-3.6513798796566653E-2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-5.8823529411764705E-2</v>
      </c>
      <c r="D18" s="515">
        <f>IF(ISNUMBER(
   IF(D_I="SI",(Datos!K18-Datos!U18)/Datos!U18,(Datos!K18+Datos!AE18-(Datos!U18+Datos!AM18))/(Datos!U18+Datos!AM18))
     ),IF(D_I="SI",(Datos!K18-Datos!U18)/Datos!U18,(Datos!K18+Datos!AE18-(Datos!U18+Datos!AM18))/(Datos!U18+Datos!AM18))," - ")</f>
        <v>0.15789473684210525</v>
      </c>
      <c r="E18" s="515">
        <f>IF(ISNUMBER(
   IF(D_I="SI",(Datos!L18-Datos!V18)/Datos!V18,(Datos!L18+Datos!AF18-(Datos!V18+Datos!AN18))/(Datos!V18+Datos!AN18))
     ),IF(D_I="SI",(Datos!L18-Datos!V18)/Datos!V18,(Datos!L18+Datos!AF18-(Datos!V18+Datos!AN18))/(Datos!V18+Datos!AN18))," - ")</f>
        <v>-0.52631578947368418</v>
      </c>
      <c r="F18" s="515">
        <f>IF(ISNUMBER((Datos!M18-Datos!W18)/Datos!W18),(Datos!M18-Datos!W18)/Datos!W18," - ")</f>
        <v>0</v>
      </c>
      <c r="G18" s="516">
        <f>IF(ISNUMBER((Datos!N18-Datos!X18)/Datos!X18),(Datos!N18-Datos!X18)/Datos!X18," - ")</f>
        <v>1.375</v>
      </c>
      <c r="H18" s="514">
        <f>IF(ISNUMBER(((NºAsuntos!G18/NºAsuntos!E18)-Datos!BD18)/Datos!BD18),((NºAsuntos!G18/NºAsuntos!E18)-Datos!BD18)/Datos!BD18," - ")</f>
        <v>0.23026315789473681</v>
      </c>
      <c r="I18" s="515">
        <f>IF(ISNUMBER(((NºAsuntos!I18/NºAsuntos!G18)-Datos!BE18)/Datos!BE18),((NºAsuntos!I18/NºAsuntos!G18)-Datos!BE18)/Datos!BE18," - ")</f>
        <v>-0.59090909090909083</v>
      </c>
      <c r="J18" s="521">
        <f>IF(ISNUMBER((('Resol  Asuntos'!D18/NºAsuntos!G18)-Datos!BF18)/Datos!BF18),(('Resol  Asuntos'!D18/NºAsuntos!G18)-Datos!BF18)/Datos!BF18," - ")</f>
        <v>-0.13636363636363638</v>
      </c>
      <c r="K18" s="522">
        <f>IF(ISNUMBER((((NºAsuntos!C18+NºAsuntos!E18)/NºAsuntos!G18)-Datos!BG18)/Datos!BG18),(((NºAsuntos!C18+NºAsuntos!E18)/NºAsuntos!G18)-Datos!BG18)/Datos!BG18," - ")</f>
        <v>-0.29545454545454541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-0.34188034188034189</v>
      </c>
      <c r="C23" s="1152">
        <f>IF(ISNUMBER(
   IF(Criterios!B14="SI",(Datos!J23-Datos!T23)/Datos!T23,(Datos!J23+Datos!AD23-(Datos!T23+Datos!AL23))/(Datos!T23+Datos!AL23))
     ),IF(Criterios!B14="SI",(Datos!J23-Datos!T23)/Datos!T23,(Datos!J23+Datos!AD23-(Datos!T23+Datos!AL23))/(Datos!T23+Datos!AL23))," - ")</f>
        <v>-4.8739495798319328E-2</v>
      </c>
      <c r="D23" s="1152">
        <f>IF(ISNUMBER(
   IF(Criterios!B14="SI",(Datos!K23-Datos!U23)/Datos!U23,(Datos!K23+Datos!AE23-(Datos!U23+Datos!AM23))/(Datos!U23+Datos!AM23))
     ),IF(Criterios!B14="SI",(Datos!K23-Datos!U23)/Datos!U23,(Datos!K23+Datos!AE23-(Datos!U23+Datos!AM23))/(Datos!U23+Datos!AM23))," - ")</f>
        <v>-0.1163141993957704</v>
      </c>
      <c r="E23" s="1152">
        <f>IF(ISNUMBER(
   IF(Criterios!B14="SI",(Datos!L23-Datos!V23)/Datos!V23,(Datos!L23+Datos!AF23-(Datos!V23+Datos!AN23))/(Datos!V23+Datos!AN23))
     ),IF(Criterios!B14="SI",(Datos!L23-Datos!V23)/Datos!V23,(Datos!L23+Datos!AF23-(Datos!V23+Datos!AN23))/(Datos!V23+Datos!AN23))," - ")</f>
        <v>-0.31391585760517798</v>
      </c>
      <c r="F23" s="1153">
        <f>IF(ISNUMBER((Datos!M23-Datos!W23)/Datos!W23),(Datos!M23-Datos!W23)/Datos!W23," - ")</f>
        <v>-0.31818181818181818</v>
      </c>
      <c r="G23" s="1154">
        <f>IF(ISNUMBER((Datos!N23-Datos!X23)/Datos!X23),(Datos!N23-Datos!X23)/Datos!X23," - ")</f>
        <v>-4.4392523364485979E-2</v>
      </c>
      <c r="H23" s="1154">
        <f>IF(ISNUMBER(((NºAsuntos!G23/NºAsuntos!E23)-Datos!BD23)/Datos!BD23),((NºAsuntos!G23/NºAsuntos!E23)-Datos!BD23)/Datos!BD23," - ")</f>
        <v>-7.1037011732302827E-2</v>
      </c>
      <c r="I23" s="1154">
        <f>IF(ISNUMBER(((NºAsuntos!I23/NºAsuntos!G23)-Datos!BE23)/Datos!BE23),((NºAsuntos!I23/NºAsuntos!G23)-Datos!BE23)/Datos!BE23," - ")</f>
        <v>-0.22361076535833818</v>
      </c>
      <c r="J23" s="1154">
        <f>IF(ISNUMBER((('Resol  Asuntos'!D23/NºAsuntos!G23)-Datos!BF23)/Datos!BF23),(('Resol  Asuntos'!D23/NºAsuntos!G23)-Datos!BF23)/Datos!BF23," - ")</f>
        <v>-0.22843822843822853</v>
      </c>
      <c r="K23" s="1154">
        <f>IF(ISNUMBER((((NºAsuntos!C23+NºAsuntos!E23)/NºAsuntos!G23)-Datos!BG23)/Datos!BG23),(((NºAsuntos!C23+NºAsuntos!E23)/NºAsuntos!G23)-Datos!BG23)/Datos!BG23," - ")</f>
        <v>-4.661281870584192E-2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-0.26502534395365679</v>
      </c>
      <c r="C31" s="1092">
        <f>IF(ISNUMBER(
   IF(J_V="SI",(Datos!J31-Datos!T31)/Datos!T31,(Datos!J31+Datos!Z31-(Datos!T31+Datos!AH31))/(Datos!T31+Datos!AH31))
     ),IF(J_V="SI",(Datos!J31-Datos!T31)/Datos!T31,(Datos!J31+Datos!Z31-(Datos!T31+Datos!AH31))/(Datos!T31+Datos!AH31))," - ")</f>
        <v>3.5252643948296123E-3</v>
      </c>
      <c r="D31" s="1092">
        <f>IF(ISNUMBER(
   IF(J_V="SI",(Datos!K31-Datos!U31)/Datos!U31,(Datos!K31+Datos!AA31-(Datos!U31+Datos!AI31))/(Datos!U31+Datos!AI31))
     ),IF(J_V="SI",(Datos!K31-Datos!U31)/Datos!U31,(Datos!K31+Datos!AA31-(Datos!U31+Datos!AI31))/(Datos!U31+Datos!AI31))," - ")</f>
        <v>-0.16747337850919652</v>
      </c>
      <c r="E31" s="1092">
        <f>IF(ISNUMBER(
   IF(J_V="SI",(Datos!L31-Datos!V31)/Datos!V31,(Datos!L31+Datos!AB31-(Datos!V31+Datos!AJ31))/(Datos!V31+Datos!AJ31))
     ),IF(J_V="SI",(Datos!L31-Datos!V31)/Datos!V31,(Datos!L31+Datos!AB31-(Datos!V31+Datos!AJ31))/(Datos!V31+Datos!AJ31))," - ")</f>
        <v>-0.17565359477124182</v>
      </c>
      <c r="F31" s="1093">
        <f>IF(ISNUMBER((Datos!M31-Datos!W31)/Datos!W31),(Datos!M31-Datos!W31)/Datos!W31," - ")</f>
        <v>1.8518518518518517E-2</v>
      </c>
      <c r="G31" s="1094">
        <f>IF(ISNUMBER((Datos!N31-Datos!X31)/Datos!X31),(Datos!N31-Datos!X31)/Datos!X31," - ")</f>
        <v>-3.8461538461538464E-2</v>
      </c>
      <c r="H31" s="1095">
        <f>IF(ISNUMBER((Tasas!B31-Datos!BD31)/Datos!BD31),(Tasas!B31-Datos!BD31)/Datos!BD31," - ")</f>
        <v>-0.17039794509522985</v>
      </c>
      <c r="I31" s="1096">
        <f>IF(ISNUMBER((Tasas!C31-Datos!BE31)/Datos!BE31),(Tasas!C31-Datos!BE31)/Datos!BE31," - ")</f>
        <v>-9.825771393828937E-3</v>
      </c>
      <c r="J31" s="1097">
        <f>IF(ISNUMBER((Tasas!D31-Datos!BF31)/Datos!BF31),(Tasas!D31-Datos!BF31)/Datos!BF31," - ")</f>
        <v>0.11972802522664566</v>
      </c>
      <c r="K31" s="1097">
        <f>IF(ISNUMBER((Tasas!E31-Datos!BG31)/Datos!BG31),(Tasas!E31-Datos!BG31)/Datos!BG31," - ")</f>
        <v>5.8123905976493915E-3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XXf1bS66Bymh9/wVSnAGB92xQRgH33ikKrKosVlR/2npssST5kLR3JUsN7oF9s5H/PZwPVJY2GdrkiMy7IoVg==" saltValue="vFiSrmX228zMJp4qaDL+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PUENTE GENIL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1.3333333333333333</v>
      </c>
      <c r="D10" s="499">
        <f>IF(ISNUMBER('Resol  Asuntos'!D10/NºAsuntos!G10),'Resol  Asuntos'!D10/NºAsuntos!G10," - ")</f>
        <v>1</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0.95104895104895104</v>
      </c>
      <c r="C12" s="498">
        <f>IF(ISNUMBER(NºAsuntos!I12/NºAsuntos!G12),NºAsuntos!I12/NºAsuntos!G12," - ")</f>
        <v>2.9154411764705883</v>
      </c>
      <c r="D12" s="499">
        <f>IF(ISNUMBER('Resol  Asuntos'!D12/NºAsuntos!G12),'Resol  Asuntos'!D12/NºAsuntos!G12," - ")</f>
        <v>0.31985294117647056</v>
      </c>
      <c r="E12" s="500">
        <f>IF(ISNUMBER((NºAsuntos!C12+NºAsuntos!E12)/NºAsuntos!G12),(NºAsuntos!C12+NºAsuntos!E12)/NºAsuntos!G12," - ")</f>
        <v>3.9154411764705883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0.95486111111111116</v>
      </c>
      <c r="C14" s="1156">
        <f>IF(ISNUMBER(NºAsuntos!I14/NºAsuntos!G14),NºAsuntos!I14/NºAsuntos!G14," - ")</f>
        <v>2.898181818181818</v>
      </c>
      <c r="D14" s="1157">
        <f>IF(ISNUMBER('Resol  Asuntos'!D14/NºAsuntos!G14),'Resol  Asuntos'!D14/NºAsuntos!G14," - ")</f>
        <v>0.32727272727272727</v>
      </c>
      <c r="E14" s="1158">
        <f>IF(ISNUMBER((NºAsuntos!C14+NºAsuntos!E14)/NºAsuntos!G14),(NºAsuntos!C14+NºAsuntos!E14)/NºAsuntos!G14," - ")</f>
        <v>3.898181818181818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1.0236363636363637</v>
      </c>
      <c r="C17" s="498">
        <f>IF(ISNUMBER(NºAsuntos!I17/NºAsuntos!G17),NºAsuntos!I17/NºAsuntos!G17," - ")</f>
        <v>0.36056838365896982</v>
      </c>
      <c r="D17" s="499">
        <f>IF(ISNUMBER('Resol  Asuntos'!D17/NºAsuntos!G17),'Resol  Asuntos'!D17/NºAsuntos!G17," - ")</f>
        <v>0.12788632326820604</v>
      </c>
      <c r="E17" s="500">
        <f>IF(ISNUMBER((NºAsuntos!C17+NºAsuntos!E17)/NºAsuntos!G17),(NºAsuntos!C17+NºAsuntos!E17)/NºAsuntos!G17," - ")</f>
        <v>1.3605683836589697</v>
      </c>
      <c r="G17" s="523"/>
    </row>
    <row r="18" spans="1:7">
      <c r="A18" s="450" t="str">
        <f>Datos!A18</f>
        <v>Jdos. Violencia contra la mujer</v>
      </c>
      <c r="B18" s="497">
        <f>IF(ISNUMBER(NºAsuntos!G18/NºAsuntos!E18),NºAsuntos!G18/NºAsuntos!E18," - ")</f>
        <v>1.375</v>
      </c>
      <c r="C18" s="498">
        <f>IF(ISNUMBER(NºAsuntos!I18/NºAsuntos!G18),NºAsuntos!I18/NºAsuntos!G18," - ")</f>
        <v>0.40909090909090912</v>
      </c>
      <c r="D18" s="499">
        <f>IF(ISNUMBER('Resol  Asuntos'!D18/NºAsuntos!G18),'Resol  Asuntos'!D18/NºAsuntos!G18," - ")</f>
        <v>0.13636363636363635</v>
      </c>
      <c r="E18" s="500">
        <f>IF(ISNUMBER((NºAsuntos!C18+NºAsuntos!E18)/NºAsuntos!G18),(NºAsuntos!C18+NºAsuntos!E18)/NºAsuntos!G18," - ")</f>
        <v>1.4090909090909092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1.0335689045936396</v>
      </c>
      <c r="C23" s="1156">
        <f>IF(ISNUMBER(NºAsuntos!I23/NºAsuntos!G23),NºAsuntos!I23/NºAsuntos!G23," - ")</f>
        <v>0.36239316239316238</v>
      </c>
      <c r="D23" s="1159">
        <f>IF(ISNUMBER('Resol  Asuntos'!D23/NºAsuntos!G23),'Resol  Asuntos'!D23/NºAsuntos!G23," - ")</f>
        <v>0.12820512820512819</v>
      </c>
      <c r="E23" s="1158">
        <f>IF(ISNUMBER((NºAsuntos!C23+NºAsuntos!E23)/NºAsuntos!G23),(NºAsuntos!C23+NºAsuntos!E23)/NºAsuntos!G23," - ")</f>
        <v>1.3623931623931624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1.0070257611241218</v>
      </c>
      <c r="C31" s="1099">
        <f>IF(ISNUMBER(NºAsuntos!I31/NºAsuntos!G31),NºAsuntos!I31/NºAsuntos!G31," - ")</f>
        <v>1.1732558139534883</v>
      </c>
      <c r="D31" s="1100">
        <f>IF(ISNUMBER('Resol  Asuntos'!D31/NºAsuntos!G31),'Resol  Asuntos'!D31/NºAsuntos!G31," - ")</f>
        <v>0.19186046511627908</v>
      </c>
      <c r="E31" s="1101">
        <f>IF(ISNUMBER((NºAsuntos!C31+NºAsuntos!E31)/NºAsuntos!G31),(NºAsuntos!C31+NºAsuntos!E31)/NºAsuntos!G31," - ")</f>
        <v>2.1732558139534883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OMzRdktAfDE6uGtZ9AZwnpymTBit5eWIfwNVkgeS/GQUcrUmf59xJdwHCBmcHNNTbVj4nOzIGnuO2HLhYVtA==" saltValue="A8RDTA0Zt0HTterlCXBz4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PUENTE GENIL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4</v>
      </c>
      <c r="AB10" s="374">
        <f>IF(ISNUMBER(Datos!R10),Datos!R10," - ")</f>
        <v>7</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4</v>
      </c>
      <c r="AN10" s="267">
        <f>IF(ISNUMBER('Resol  Asuntos'!D10/NºAsuntos!G10),'Resol  Asuntos'!D10/NºAsuntos!G10," - ")</f>
        <v>1</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v>
      </c>
      <c r="Y12" s="374">
        <f t="shared" si="0"/>
        <v>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87</v>
      </c>
      <c r="AJ12" s="243" t="str">
        <f>IF(ISNUMBER(Datos!BW12),Datos!BW12," - ")</f>
        <v xml:space="preserve"> - </v>
      </c>
      <c r="AK12" s="242" t="str">
        <f>IF(ISNUMBER(Datos!BX12),Datos!BX12," - ")</f>
        <v xml:space="preserve"> - </v>
      </c>
      <c r="AL12" s="266">
        <f>IF(ISNUMBER(NºAsuntos!G12/NºAsuntos!E12),NºAsuntos!G12/NºAsuntos!E12," - ")</f>
        <v>0.95104895104895104</v>
      </c>
      <c r="AM12" s="284">
        <f>IF(ISNUMBER(((NºAsuntos!I12/NºAsuntos!G12)*11)/factor_trimestre),((NºAsuntos!I12/NºAsuntos!G12)*11)/factor_trimestre," - ")</f>
        <v>8.7463235294117645</v>
      </c>
      <c r="AN12" s="267">
        <f>IF(ISNUMBER('Resol  Asuntos'!D12/NºAsuntos!G12),'Resol  Asuntos'!D12/NºAsuntos!G12," - ")</f>
        <v>0.31985294117647056</v>
      </c>
      <c r="AO12" s="268">
        <f>IF(ISNUMBER((NºAsuntos!C12+NºAsuntos!E12)/NºAsuntos!G12),(NºAsuntos!C12+NºAsuntos!E12)/NºAsuntos!G12," - ")</f>
        <v>3.9154411764705883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30</v>
      </c>
      <c r="Y14" s="1165">
        <f t="shared" si="6"/>
        <v>33</v>
      </c>
      <c r="Z14" s="1165">
        <f t="shared" si="6"/>
        <v>0</v>
      </c>
      <c r="AA14" s="1165">
        <f t="shared" si="6"/>
        <v>4</v>
      </c>
      <c r="AB14" s="1165">
        <f t="shared" si="6"/>
        <v>1129</v>
      </c>
      <c r="AC14" s="1165">
        <f t="shared" si="6"/>
        <v>11</v>
      </c>
      <c r="AD14" s="1165">
        <f t="shared" si="6"/>
        <v>0</v>
      </c>
      <c r="AE14" s="1169">
        <f t="shared" si="6"/>
        <v>0</v>
      </c>
      <c r="AF14" s="1162">
        <f t="shared" si="6"/>
        <v>0</v>
      </c>
      <c r="AG14" s="1170">
        <f t="shared" si="6"/>
        <v>0</v>
      </c>
      <c r="AH14" s="1167">
        <f t="shared" si="6"/>
        <v>0</v>
      </c>
      <c r="AI14" s="1162">
        <f t="shared" si="6"/>
        <v>90</v>
      </c>
      <c r="AJ14" s="1164">
        <f t="shared" si="6"/>
        <v>0</v>
      </c>
      <c r="AK14" s="1167">
        <f>SUBTOTAL(9,AK9:AK13)</f>
        <v>0</v>
      </c>
      <c r="AL14" s="1171">
        <f>IF(ISNUMBER(NºAsuntos!G14/NºAsuntos!E14),NºAsuntos!G14/NºAsuntos!E14," - ")</f>
        <v>0.95486111111111116</v>
      </c>
      <c r="AM14" s="1171">
        <f>IF(ISNUMBER(((NºAsuntos!I14/NºAsuntos!G14)*11)/factor_trimestre),((NºAsuntos!I14/NºAsuntos!G14)*11)/factor_trimestre," - ")</f>
        <v>8.6945454545454552</v>
      </c>
      <c r="AN14" s="1172">
        <f>IF(ISNUMBER('Resol  Asuntos'!D14/NºAsuntos!G14),'Resol  Asuntos'!D14/NºAsuntos!G14," - ")</f>
        <v>0.32727272727272727</v>
      </c>
      <c r="AO14" s="1173">
        <f>IF(ISNUMBER((NºAsuntos!C14+NºAsuntos!E14)/NºAsuntos!G14),(NºAsuntos!C14+NºAsuntos!E14)/NºAsuntos!G14," - ")</f>
        <v>3.898181818181818</v>
      </c>
      <c r="AP14" s="1174" t="str">
        <f t="shared" si="2"/>
        <v xml:space="preserve"> - </v>
      </c>
      <c r="AQ14" s="1174">
        <f>IF(ISNUMBER((H14-W14+K14)/(F14)),(H14-W14+K14)/(F14)," - ")</f>
        <v>-0.6</v>
      </c>
      <c r="AR14" s="1175">
        <f>IF(ISNUMBER((Datos!P14-Datos!Q14)/(Datos!R14-Datos!P14+Datos!Q14)),(Datos!P14-Datos!Q14)/(Datos!R14-Datos!P14+Datos!Q14)," - ")</f>
        <v>9.8389982110912346E-3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216</v>
      </c>
      <c r="G17" s="373">
        <f>IF(ISNUMBER(IF(D_I="SI",Datos!I17,Datos!I17+Datos!AC17)),IF(D_I="SI",Datos!I17,Datos!I17+Datos!AC17)," - ")</f>
        <v>216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563</v>
      </c>
      <c r="X17" s="240">
        <f>IF(ISNUMBER(Datos!Q17),Datos!Q17," - ")</f>
        <v>9</v>
      </c>
      <c r="Y17" s="374">
        <f t="shared" ref="Y17:Y22" si="9">SUM(W17:X17)</f>
        <v>572</v>
      </c>
      <c r="Z17" s="375" t="str">
        <f>IF(ISNUMBER(Datos!CC17),Datos!CC17," - ")</f>
        <v xml:space="preserve"> - </v>
      </c>
      <c r="AA17" s="372">
        <f>IF(ISNUMBER(IF(D_I="SI",Datos!L17,Datos!L17+Datos!AF17)),IF(D_I="SI",Datos!L17,Datos!L17+Datos!AF17)," - ")</f>
        <v>203</v>
      </c>
      <c r="AB17" s="374">
        <f>IF(ISNUMBER(Datos!R17),Datos!R17," - ")</f>
        <v>35</v>
      </c>
      <c r="AC17" s="374">
        <f t="shared" si="8"/>
        <v>238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72</v>
      </c>
      <c r="AJ17" s="245" t="str">
        <f>IF(ISNUMBER(Datos!BW17),Datos!BW17," - ")</f>
        <v xml:space="preserve"> - </v>
      </c>
      <c r="AK17" s="246" t="str">
        <f>IF(ISNUMBER(Datos!BX17),Datos!BX17," - ")</f>
        <v xml:space="preserve"> - </v>
      </c>
      <c r="AL17" s="266">
        <f>IF(ISNUMBER(NºAsuntos!G17/NºAsuntos!E17),NºAsuntos!G17/NºAsuntos!E17," - ")</f>
        <v>1.0236363636363637</v>
      </c>
      <c r="AM17" s="284">
        <f>IF(ISNUMBER(((NºAsuntos!I17/NºAsuntos!G17)*11)/factor_trimestre),((NºAsuntos!I17/NºAsuntos!G17)*11)/factor_trimestre," - ")</f>
        <v>1.0817051509769096</v>
      </c>
      <c r="AN17" s="267">
        <f>IF(ISNUMBER('Resol  Asuntos'!D17/NºAsuntos!G17),'Resol  Asuntos'!D17/NºAsuntos!G17," - ")</f>
        <v>0.12788632326820604</v>
      </c>
      <c r="AO17" s="268">
        <f>IF(ISNUMBER((NºAsuntos!C17+NºAsuntos!E17)/NºAsuntos!G17),(NºAsuntos!C17+NºAsuntos!E17)/NºAsuntos!G17," - ")</f>
        <v>1.3605683836589697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1.375</v>
      </c>
      <c r="AM18" s="284">
        <f>IF(ISNUMBER(((NºAsuntos!I18/NºAsuntos!G18)*11)/factor_trimestre),((NºAsuntos!I18/NºAsuntos!G18)*11)/factor_trimestre," - ")</f>
        <v>1.2272727272727273</v>
      </c>
      <c r="AN18" s="267">
        <f>IF(ISNUMBER('Resol  Asuntos'!D18/NºAsuntos!G18),'Resol  Asuntos'!D18/NºAsuntos!G18," - ")</f>
        <v>0.13636363636363635</v>
      </c>
      <c r="AO18" s="268">
        <f>IF(ISNUMBER((NºAsuntos!C18+NºAsuntos!E18)/NºAsuntos!G18),(NºAsuntos!C18+NºAsuntos!E18)/NºAsuntos!G18," - ")</f>
        <v>1.4090909090909092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216</v>
      </c>
      <c r="G23" s="1163">
        <f>SUBTOTAL(9,G16:G22)</f>
        <v>231</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585</v>
      </c>
      <c r="X23" s="1164">
        <f t="shared" si="14"/>
        <v>9</v>
      </c>
      <c r="Y23" s="1165">
        <f t="shared" si="14"/>
        <v>594</v>
      </c>
      <c r="Z23" s="1165">
        <f t="shared" si="14"/>
        <v>0</v>
      </c>
      <c r="AA23" s="1165">
        <f t="shared" si="14"/>
        <v>212</v>
      </c>
      <c r="AB23" s="1165">
        <f t="shared" si="14"/>
        <v>35</v>
      </c>
      <c r="AC23" s="1165">
        <f t="shared" si="14"/>
        <v>247</v>
      </c>
      <c r="AD23" s="1165">
        <f t="shared" si="14"/>
        <v>0</v>
      </c>
      <c r="AE23" s="1169">
        <f t="shared" si="14"/>
        <v>0</v>
      </c>
      <c r="AF23" s="1162">
        <f t="shared" si="14"/>
        <v>0</v>
      </c>
      <c r="AG23" s="1170">
        <f t="shared" si="14"/>
        <v>0</v>
      </c>
      <c r="AH23" s="1167">
        <f t="shared" si="14"/>
        <v>0</v>
      </c>
      <c r="AI23" s="1162">
        <f t="shared" si="14"/>
        <v>75</v>
      </c>
      <c r="AJ23" s="1164">
        <f t="shared" si="14"/>
        <v>0</v>
      </c>
      <c r="AK23" s="1167">
        <f t="shared" si="14"/>
        <v>0</v>
      </c>
      <c r="AL23" s="1171">
        <f>IF(ISNUMBER(NºAsuntos!G23/NºAsuntos!E23),NºAsuntos!G23/NºAsuntos!E23," - ")</f>
        <v>1.0335689045936396</v>
      </c>
      <c r="AM23" s="1171">
        <f>IF(ISNUMBER(((NºAsuntos!I23/NºAsuntos!G23)*11)/factor_trimestre),((NºAsuntos!I23/NºAsuntos!G23)*11)/factor_trimestre," - ")</f>
        <v>1.0871794871794873</v>
      </c>
      <c r="AN23" s="1172">
        <f>IF(ISNUMBER('Resol  Asuntos'!D23/NºAsuntos!G23),'Resol  Asuntos'!D23/NºAsuntos!G23," - ")</f>
        <v>0.12820512820512819</v>
      </c>
      <c r="AO23" s="1173">
        <f>IF(ISNUMBER((NºAsuntos!C23+NºAsuntos!E23)/NºAsuntos!G23),(NºAsuntos!C23+NºAsuntos!E23)/NºAsuntos!G23," - ")</f>
        <v>1.3623931623931624</v>
      </c>
      <c r="AP23" s="1174" t="str">
        <f t="shared" si="2"/>
        <v xml:space="preserve"> - </v>
      </c>
      <c r="AQ23" s="1174">
        <f>IF(ISNUMBER((H23-W23+K23)/(F23)),(H23-W23+K23)/(F23)," - ")</f>
        <v>-2.7083333333333335</v>
      </c>
      <c r="AR23" s="1175">
        <f>IF(ISNUMBER((Datos!P23-Datos!Q23)/(Datos!R23-Datos!P23+Datos!Q23)),(Datos!P23-Datos!Q23)/(Datos!R23-Datos!P23+Datos!Q23)," - ")</f>
        <v>9.375E-2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221</v>
      </c>
      <c r="G31" s="1118">
        <f t="shared" si="20"/>
        <v>236</v>
      </c>
      <c r="H31" s="1117">
        <f t="shared" si="20"/>
        <v>0</v>
      </c>
      <c r="I31" s="1119">
        <f t="shared" si="20"/>
        <v>0</v>
      </c>
      <c r="J31" s="1119">
        <f t="shared" si="20"/>
        <v>0</v>
      </c>
      <c r="K31" s="1180">
        <f t="shared" si="20"/>
        <v>0</v>
      </c>
      <c r="L31" s="1119">
        <f t="shared" si="20"/>
        <v>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588</v>
      </c>
      <c r="X31" s="1118">
        <f t="shared" si="21"/>
        <v>39</v>
      </c>
      <c r="Y31" s="1125">
        <f t="shared" si="21"/>
        <v>627</v>
      </c>
      <c r="Z31" s="1125">
        <f t="shared" si="21"/>
        <v>0</v>
      </c>
      <c r="AA31" s="1125">
        <f t="shared" si="21"/>
        <v>216</v>
      </c>
      <c r="AB31" s="1125">
        <f t="shared" si="21"/>
        <v>1164</v>
      </c>
      <c r="AC31" s="1125">
        <f t="shared" si="21"/>
        <v>258</v>
      </c>
      <c r="AD31" s="1125">
        <f t="shared" si="21"/>
        <v>0</v>
      </c>
      <c r="AE31" s="1127">
        <f t="shared" si="21"/>
        <v>0</v>
      </c>
      <c r="AF31" s="1128">
        <f t="shared" si="21"/>
        <v>0</v>
      </c>
      <c r="AG31" s="1129">
        <f t="shared" si="21"/>
        <v>0</v>
      </c>
      <c r="AH31" s="1127">
        <f t="shared" si="21"/>
        <v>0</v>
      </c>
      <c r="AI31" s="1117">
        <f t="shared" si="21"/>
        <v>165</v>
      </c>
      <c r="AJ31" s="1117">
        <f t="shared" si="21"/>
        <v>0</v>
      </c>
      <c r="AK31" s="1127">
        <f t="shared" si="21"/>
        <v>0</v>
      </c>
      <c r="AL31" s="1183">
        <f>IF(ISNUMBER(NºAsuntos!G31/NºAsuntos!E31),NºAsuntos!G31/NºAsuntos!E31," - ")</f>
        <v>1.0070257611241218</v>
      </c>
      <c r="AM31" s="1184">
        <f>IF(ISNUMBER(((NºAsuntos!I31/NºAsuntos!G31)*11)/factor_trimestre),((NºAsuntos!I31/NºAsuntos!G31)*11)/factor_trimestre," - ")</f>
        <v>3.519767441860465</v>
      </c>
      <c r="AN31" s="1184">
        <f>IF(ISNUMBER('Resol  Asuntos'!D31/NºAsuntos!G31),'Resol  Asuntos'!D31/NºAsuntos!G31," - ")</f>
        <v>0.19186046511627908</v>
      </c>
      <c r="AO31" s="1185">
        <f>IF(ISNUMBER((NºAsuntos!C31+NºAsuntos!E31)/NºAsuntos!G31),(NºAsuntos!C31+NºAsuntos!E31)/NºAsuntos!G31," - ")</f>
        <v>2.1732558139534883</v>
      </c>
      <c r="AP31" s="1186" t="str">
        <f t="shared" si="2"/>
        <v xml:space="preserve"> - </v>
      </c>
      <c r="AQ31" s="1187">
        <f>IF(OR(ISNUMBER(FIND("01",Criterios!A8,1)),ISNUMBER(FIND("02",Criterios!A8,1)),ISNUMBER(FIND("03",Criterios!A8,1)),ISNUMBER(FIND("04",Criterios!A8,1))),(I31-W31+K31)/(F31-K31),(H31-W31+K31)/(F31-K31))</f>
        <v>-2.6606334841628958</v>
      </c>
      <c r="AR31" s="1188">
        <f>IF(ISNUMBER((Datos!P31-Datos!Q31)/(Datos!R31-Datos!P31+Datos!Q31)),(Datos!P31-Datos!Q31)/(Datos!R31-Datos!P31+Datos!Q31)," - ")</f>
        <v>1.2173913043478261E-2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110.27359913717638</v>
      </c>
      <c r="G33" s="277">
        <f>IF(ISNUMBER(STDEV(G8:G30)),STDEV(G8:G30),"-")</f>
        <v>106.82205943040221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277.52717584649855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42.901048938225273</v>
      </c>
      <c r="AJ33" s="276">
        <f t="shared" si="25"/>
        <v>0</v>
      </c>
      <c r="AK33" s="278">
        <f t="shared" si="25"/>
        <v>0</v>
      </c>
      <c r="AL33" s="273">
        <f t="shared" si="25"/>
        <v>0.23650428707289473</v>
      </c>
      <c r="AM33" s="274">
        <f t="shared" si="25"/>
        <v>3.718563161053337</v>
      </c>
      <c r="AN33" s="274">
        <f t="shared" si="25"/>
        <v>0.3368931303325805</v>
      </c>
      <c r="AO33" s="275">
        <f t="shared" si="25"/>
        <v>1.2395210536844443</v>
      </c>
      <c r="AP33" s="317" t="str">
        <f t="shared" si="25"/>
        <v>-</v>
      </c>
      <c r="AQ33" s="318">
        <f t="shared" si="25"/>
        <v>1.4908167970016379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ysLhU3Y52GgH1xeo4lLuKmk+LeFydSr0iToPTCzN08X9JimWStJq064vei/2RnnCOwowAql9vD2Ut7mbbzQNQ==" saltValue="GiATIWw3OFUcsC3RBM93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PUENTE GENIL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1</v>
      </c>
      <c r="F10" s="393">
        <f>IF(ISNUMBER((Datos!K10-Datos!U10)/Datos!U10),(Datos!K10-Datos!U10)/Datos!U10," - ")</f>
        <v>2</v>
      </c>
      <c r="G10" s="394">
        <f>IF(ISNUMBER((Datos!L10-Datos!V10)/Datos!V10),(Datos!L10-Datos!V10)/Datos!V10," - ")</f>
        <v>0.33333333333333331</v>
      </c>
      <c r="H10" s="244">
        <f>IF(ISNUMBER((Datos!M10-Datos!W10)/Datos!W10),(Datos!M10-Datos!W10)/Datos!W10," - ")</f>
        <v>2</v>
      </c>
      <c r="I10" s="395">
        <f>IF(ISNUMBER((Tasas!C10-Datos!BE10)/Datos!BE10),(Tasas!C10-Datos!BE10)/Datos!BE10," - ")</f>
        <v>-0.55555555555555558</v>
      </c>
      <c r="J10" s="394">
        <f>IF(ISNUMBER((Tasas!D10-Datos!BF10)/Datos!BF10),(Tasas!D10-Datos!BF10)/Datos!BF10," - ")</f>
        <v>0</v>
      </c>
      <c r="K10" s="396">
        <f>IF(ISNUMBER((Tasas!E10-Datos!BG10)/Datos!BG10),(Tasas!E10-Datos!BG10)/Datos!BG10," - ")</f>
        <v>-0.41666666666666663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0.70588235294117652</v>
      </c>
      <c r="I12" s="395">
        <f>IF(ISNUMBER((Tasas!C12-Datos!BE12)/Datos!BE12),(Tasas!C12-Datos!BE12)/Datos!BE12," - ")</f>
        <v>0.18279960010319915</v>
      </c>
      <c r="J12" s="394">
        <f>IF(ISNUMBER((Tasas!D12-Datos!BF12)/Datos!BF12),(Tasas!D12-Datos!BF12)/Datos!BF12," - ")</f>
        <v>0.79311497326203184</v>
      </c>
      <c r="K12" s="396">
        <f>IF(ISNUMBER((Tasas!E12-Datos!BG12)/Datos!BG12),(Tasas!E12-Datos!BG12)/Datos!BG12," - ")</f>
        <v>0.13004152519041937</v>
      </c>
      <c r="M12" t="e">
        <f>IF(Monitorios="SI",Datos!CE12,0)</f>
        <v>#REF!</v>
      </c>
      <c r="N12" t="e">
        <f>IF(Monitorios="SI",Datos!CF12,0)</f>
        <v>#REF!</v>
      </c>
      <c r="O12" t="e">
        <f>IF(Monitorios="SI",Datos!CG12,0)</f>
        <v>#REF!</v>
      </c>
      <c r="P12" t="e">
        <f>IF(Monitorios="SI",Datos!CH12,0)</f>
        <v>#REF!</v>
      </c>
      <c r="Q12">
        <f>IF(J_V="SI",0,Datos!AG12)</f>
        <v>36</v>
      </c>
      <c r="R12">
        <f>IF(J_V="SI",0,Datos!AH12)</f>
        <v>36</v>
      </c>
      <c r="S12">
        <f>IF(J_V="SI",0,Datos!AI12)</f>
        <v>14</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0.73076923076923073</v>
      </c>
      <c r="I14" s="402">
        <f>IF(ISNUMBER((Tasas!C14-Datos!BE14)/Datos!BE14),(Tasas!C14-Datos!BE14)/Datos!BE14," - ")</f>
        <v>0.17510978638847491</v>
      </c>
      <c r="J14" s="400">
        <f>IF(ISNUMBER((Tasas!D14-Datos!BF14)/Datos!BF14),(Tasas!D14-Datos!BF14)/Datos!BF14," - ")</f>
        <v>0.81221166892808672</v>
      </c>
      <c r="K14" s="403">
        <f>IF(ISNUMBER((Tasas!E14-Datos!BG14)/Datos!BG14),(Tasas!E14-Datos!BG14)/Datos!BG14," - ")</f>
        <v>0.12459211084405486</v>
      </c>
      <c r="M14" t="e">
        <f>IF(Monitorios="SI",Datos!CE14,0)</f>
        <v>#REF!</v>
      </c>
      <c r="N14" t="e">
        <f>IF(Monitorios="SI",Datos!CF14,0)</f>
        <v>#REF!</v>
      </c>
      <c r="O14" t="e">
        <f>IF(Monitorios="SI",Datos!CG14,0)</f>
        <v>#REF!</v>
      </c>
      <c r="P14" t="e">
        <f>IF(Monitorios="SI",Datos!CH14,0)</f>
        <v>#REF!</v>
      </c>
      <c r="Q14">
        <f>IF(J_V="SI",0,Datos!AG14)</f>
        <v>36</v>
      </c>
      <c r="R14">
        <f>IF(J_V="SI",0,Datos!AH14)</f>
        <v>36</v>
      </c>
      <c r="S14">
        <f>IF(J_V="SI",0,Datos!AI14)</f>
        <v>14</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-0.34545454545454546</v>
      </c>
      <c r="E17" s="393">
        <f>IF(ISNUMBER(
   IF(D_I="SI",(Datos!J17-Datos!T17)/Datos!T17,(Datos!J17+Datos!AD17-(Datos!T17+Datos!AL17))/(Datos!T17+Datos!AL17))
     ),IF(D_I="SI",(Datos!J17-Datos!T17)/Datos!T17,(Datos!J17+Datos!AD17-(Datos!T17+Datos!AL17))/(Datos!T17+Datos!AL17))," - ")</f>
        <v>-4.8442906574394463E-2</v>
      </c>
      <c r="F17" s="393">
        <f>IF(ISNUMBER(
   IF(D_I="SI",(Datos!K17-Datos!U17)/Datos!U17,(Datos!K17+Datos!AE17-(Datos!U17+Datos!AM17))/(Datos!U17+Datos!AM17))
     ),IF(D_I="SI",(Datos!K17-Datos!U17)/Datos!U17,(Datos!K17+Datos!AE17-(Datos!U17+Datos!AM17))/(Datos!U17+Datos!AM17))," - ")</f>
        <v>-0.12441679626749612</v>
      </c>
      <c r="G17" s="394">
        <f>IF(ISNUMBER(
   IF(D_I="SI",(Datos!L17-Datos!V17)/Datos!V17,(Datos!L17+Datos!AF17-(Datos!V17+Datos!AN17))/(Datos!V17+Datos!AN17))
     ),IF(D_I="SI",(Datos!L17-Datos!V17)/Datos!V17,(Datos!L17+Datos!AF17-(Datos!V17+Datos!AN17))/(Datos!V17+Datos!AN17))," - ")</f>
        <v>-0.3</v>
      </c>
      <c r="H17" s="244">
        <f>IF(ISNUMBER((Datos!M17-Datos!W17)/Datos!W17),(Datos!M17-Datos!W17)/Datos!W17," - ")</f>
        <v>-0.32710280373831774</v>
      </c>
      <c r="I17" s="395">
        <f>IF(ISNUMBER((Tasas!C17-Datos!BE17)/Datos!BE17),(Tasas!C17-Datos!BE17)/Datos!BE17," - ")</f>
        <v>-0.20053285968028417</v>
      </c>
      <c r="J17" s="394">
        <f>IF(ISNUMBER((Tasas!D17-Datos!BF17)/Datos!BF17),(Tasas!D17-Datos!BF17)/Datos!BF17," - ")</f>
        <v>-0.23148686110788341</v>
      </c>
      <c r="K17" s="396">
        <f>IF(ISNUMBER((Tasas!E17-Datos!BG17)/Datos!BG17),(Tasas!E17-Datos!BG17)/Datos!BG17," - ")</f>
        <v>-3.6513798796566653E-2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-5.8823529411764705E-2</v>
      </c>
      <c r="F18" s="393">
        <f>IF(ISNUMBER(
   IF(D_I="SI",(Datos!K18-Datos!U18)/Datos!U18,(Datos!K18+Datos!AE18-(Datos!U18+Datos!AM18))/(Datos!U18+Datos!AM18))
     ),IF(D_I="SI",(Datos!K18-Datos!U18)/Datos!U18,(Datos!K18+Datos!AE18-(Datos!U18+Datos!AM18))/(Datos!U18+Datos!AM18))," - ")</f>
        <v>0.15789473684210525</v>
      </c>
      <c r="G18" s="394">
        <f>IF(ISNUMBER(
   IF(D_I="SI",(Datos!L18-Datos!V18)/Datos!V18,(Datos!L18+Datos!AF18-(Datos!V18+Datos!AN18))/(Datos!V18+Datos!AN18))
     ),IF(D_I="SI",(Datos!L18-Datos!V18)/Datos!V18,(Datos!L18+Datos!AF18-(Datos!V18+Datos!AN18))/(Datos!V18+Datos!AN18))," - ")</f>
        <v>-0.52631578947368418</v>
      </c>
      <c r="H18" s="244">
        <f>IF(ISNUMBER((Datos!M18-Datos!W18)/Datos!W18),(Datos!M18-Datos!W18)/Datos!W18," - ")</f>
        <v>0</v>
      </c>
      <c r="I18" s="395">
        <f>IF(ISNUMBER((Tasas!C18-Datos!BE18)/Datos!BE18),(Tasas!C18-Datos!BE18)/Datos!BE18," - ")</f>
        <v>-0.59090909090909083</v>
      </c>
      <c r="J18" s="394">
        <f>IF(ISNUMBER((Tasas!D18-Datos!BF18)/Datos!BF18),(Tasas!D18-Datos!BF18)/Datos!BF18," - ")</f>
        <v>-0.13636363636363638</v>
      </c>
      <c r="K18" s="396">
        <f>IF(ISNUMBER((Tasas!E18-Datos!BG18)/Datos!BG18),(Tasas!E18-Datos!BG18)/Datos!BG18," - ")</f>
        <v>-0.29545454545454541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-0.34188034188034189</v>
      </c>
      <c r="E23" s="399">
        <f>IF(ISNUMBER(
   IF(D_I="SI",(Datos!J23-Datos!T23)/Datos!T23,(Datos!J23+Datos!AD23-(Datos!T23+Datos!AL23))/(Datos!T23+Datos!AL23))
     ),IF(D_I="SI",(Datos!J23-Datos!T23)/Datos!T23,(Datos!J23+Datos!AD23-(Datos!T23+Datos!AL23))/(Datos!T23+Datos!AL23))," - ")</f>
        <v>-4.8739495798319328E-2</v>
      </c>
      <c r="F23" s="399">
        <f>IF(ISNUMBER(
   IF(D_I="SI",(Datos!K23-Datos!U23)/Datos!U23,(Datos!K23+Datos!AE23-(Datos!U23+Datos!AM23))/(Datos!U23+Datos!AM23))
     ),IF(D_I="SI",(Datos!K23-Datos!U23)/Datos!U23,(Datos!K23+Datos!AE23-(Datos!U23+Datos!AM23))/(Datos!U23+Datos!AM23))," - ")</f>
        <v>-0.1163141993957704</v>
      </c>
      <c r="G23" s="400">
        <f>IF(ISNUMBER(
   IF(D_I="SI",(Datos!L23-Datos!V23)/Datos!V23,(Datos!L23+Datos!AF23-(Datos!V23+Datos!AN23))/(Datos!V23+Datos!AN23))
     ),IF(D_I="SI",(Datos!L23-Datos!V23)/Datos!V23,(Datos!L23+Datos!AF23-(Datos!V23+Datos!AN23))/(Datos!V23+Datos!AN23))," - ")</f>
        <v>-0.31391585760517798</v>
      </c>
      <c r="H23" s="401">
        <f>IF(ISNUMBER((Datos!M23-Datos!W23)/Datos!W23),(Datos!M23-Datos!W23)/Datos!W23," - ")</f>
        <v>-0.31818181818181818</v>
      </c>
      <c r="I23" s="402">
        <f>IF(ISNUMBER((Tasas!C23-Datos!BE23)/Datos!BE23),(Tasas!C23-Datos!BE23)/Datos!BE23," - ")</f>
        <v>-0.22361076535833818</v>
      </c>
      <c r="J23" s="400">
        <f>IF(ISNUMBER((Tasas!D23-Datos!BF23)/Datos!BF23),(Tasas!D23-Datos!BF23)/Datos!BF23," - ")</f>
        <v>-0.22843822843822853</v>
      </c>
      <c r="K23" s="403">
        <f>IF(ISNUMBER((Tasas!E23-Datos!BG23)/Datos!BG23),(Tasas!E23-Datos!BG23)/Datos!BG23," - ")</f>
        <v>-4.661281870584192E-2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-0.26502534395365679</v>
      </c>
      <c r="E31" s="409">
        <f>IF(ISNUMBER(
   IF(J_V="SI",(Datos!J31-Datos!T31)/Datos!T31,(Datos!J31+Datos!Z31-(Datos!T31+Datos!AH31))/(Datos!T31+Datos!AH31))
     ),IF(J_V="SI",(Datos!J31-Datos!T31)/Datos!T31,(Datos!J31+Datos!Z31-(Datos!T31+Datos!AH31))/(Datos!T31+Datos!AH31))," - ")</f>
        <v>3.5252643948296123E-3</v>
      </c>
      <c r="F31" s="409">
        <f>IF(ISNUMBER(
   IF(J_V="SI",(Datos!K31-Datos!U31)/Datos!U31,(Datos!K31+Datos!AA31-(Datos!U31+Datos!AI31))/(Datos!U31+Datos!AI31))
     ),IF(J_V="SI",(Datos!K31-Datos!U31)/Datos!U31,(Datos!K31+Datos!AA31-(Datos!U31+Datos!AI31))/(Datos!U31+Datos!AI31))," - ")</f>
        <v>-0.16747337850919652</v>
      </c>
      <c r="G31" s="410">
        <f>IF(ISNUMBER(
   IF(J_V="SI",(Datos!L31-Datos!V31)/Datos!V31,(Datos!L31+Datos!AB31-(Datos!V31+Datos!AJ31))/(Datos!V31+Datos!AJ31))
     ),IF(J_V="SI",(Datos!L31-Datos!V31)/Datos!V31,(Datos!L31+Datos!AB31-(Datos!V31+Datos!AJ31))/(Datos!V31+Datos!AJ31))," - ")</f>
        <v>-0.17565359477124182</v>
      </c>
      <c r="H31" s="411">
        <f>IF(ISNUMBER((Datos!M31-Datos!W31)/Datos!W31),(Datos!M31-Datos!W31)/Datos!W31," - ")</f>
        <v>1.8518518518518517E-2</v>
      </c>
      <c r="I31" s="408">
        <f>IF(ISNUMBER((Tasas!C31-Datos!BE31)/Datos!BE31),(Tasas!C31-Datos!BE31)/Datos!BE31," - ")</f>
        <v>-9.825771393828937E-3</v>
      </c>
      <c r="J31" s="409">
        <f>IF(ISNUMBER((Tasas!D31-Datos!BF31)/Datos!BF31),(Tasas!D31-Datos!BF31)/Datos!BF31," - ")</f>
        <v>0.11972802522664566</v>
      </c>
      <c r="K31" s="410">
        <f>IF(ISNUMBER((Tasas!E31-Datos!BG31)/Datos!BG31),(Tasas!E31-Datos!BG31)/Datos!BG31," - ")</f>
        <v>5.8123905976493915E-3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0.49626288349045689</v>
      </c>
      <c r="E33" s="303">
        <f t="shared" si="1"/>
        <v>0.52602311877735308</v>
      </c>
      <c r="F33" s="303">
        <f t="shared" si="1"/>
        <v>1.0222622099171808</v>
      </c>
      <c r="G33" s="304">
        <f t="shared" si="1"/>
        <v>0.37143476988342944</v>
      </c>
      <c r="H33" s="310">
        <f t="shared" si="1"/>
        <v>0.88790854175101541</v>
      </c>
      <c r="I33" s="302">
        <f t="shared" si="1"/>
        <v>0.33675018377392379</v>
      </c>
      <c r="J33" s="303">
        <f t="shared" si="1"/>
        <v>0.49867654224758434</v>
      </c>
      <c r="K33" s="304">
        <f t="shared" si="1"/>
        <v>0.22277068323781302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dXB5mLB+9w6ry44KqE5TrZIVZY+fXw0WnNzi8WXiTVlpXPxBA9RctsLLoYTsmBC6BmdBhgzakWfQ2tmj3L0aA==" saltValue="iFkICUvMnpnewwK/HGL02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